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8975" windowHeight="8640"/>
  </bookViews>
  <sheets>
    <sheet name="Proracun" sheetId="1" r:id="rId1"/>
    <sheet name="Hidrogram" sheetId="4" r:id="rId2"/>
    <sheet name="Sheet2" sheetId="2" r:id="rId3"/>
    <sheet name="Sheet3" sheetId="3" r:id="rId4"/>
  </sheets>
  <definedNames>
    <definedName name="solver_adj" localSheetId="0" hidden="1">Proracun!$B$58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Proracun!$D$70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3</definedName>
    <definedName name="solver_val" localSheetId="0" hidden="1">45.85</definedName>
  </definedNames>
  <calcPr calcId="124519"/>
</workbook>
</file>

<file path=xl/calcChain.xml><?xml version="1.0" encoding="utf-8"?>
<calcChain xmlns="http://schemas.openxmlformats.org/spreadsheetml/2006/main">
  <c r="J9" i="1"/>
  <c r="J10"/>
  <c r="J11" s="1"/>
  <c r="J12" s="1"/>
  <c r="J13" s="1"/>
  <c r="J14" s="1"/>
  <c r="J15" s="1"/>
  <c r="J16" s="1"/>
  <c r="J17" s="1"/>
  <c r="J18" s="1"/>
  <c r="J19" s="1"/>
  <c r="J20" s="1"/>
  <c r="J21" s="1"/>
  <c r="J22" s="1"/>
  <c r="J23" s="1"/>
  <c r="J24" s="1"/>
  <c r="J25" s="1"/>
  <c r="J8"/>
  <c r="H19"/>
  <c r="H2"/>
  <c r="H3"/>
  <c r="H4"/>
  <c r="H5"/>
  <c r="H6"/>
  <c r="H7"/>
  <c r="H8"/>
  <c r="H9"/>
  <c r="H10"/>
  <c r="H11"/>
  <c r="H12"/>
  <c r="H13"/>
  <c r="H14"/>
  <c r="H15"/>
  <c r="H16"/>
  <c r="H17"/>
  <c r="H18"/>
  <c r="H1"/>
  <c r="K7"/>
  <c r="L7" s="1"/>
  <c r="B30"/>
  <c r="D58"/>
  <c r="E75"/>
  <c r="E74"/>
  <c r="E73"/>
  <c r="E72"/>
  <c r="E71"/>
  <c r="E69"/>
  <c r="E68"/>
  <c r="E67"/>
  <c r="E66"/>
  <c r="E65"/>
  <c r="E63"/>
  <c r="E62"/>
  <c r="E61"/>
  <c r="E60"/>
  <c r="E59"/>
  <c r="E47"/>
  <c r="E46"/>
  <c r="E45"/>
  <c r="E44"/>
  <c r="E43"/>
  <c r="E41"/>
  <c r="E40"/>
  <c r="E39"/>
  <c r="E38"/>
  <c r="E37"/>
  <c r="E35"/>
  <c r="E34"/>
  <c r="E33"/>
  <c r="E32"/>
  <c r="E31"/>
  <c r="C30"/>
  <c r="F4"/>
  <c r="E4"/>
  <c r="B7"/>
  <c r="B6"/>
  <c r="K3" s="1"/>
  <c r="B4"/>
  <c r="M3" l="1"/>
  <c r="O7" s="1"/>
  <c r="P8" s="1"/>
  <c r="D30"/>
  <c r="C58"/>
  <c r="F59" s="1"/>
  <c r="H59" s="1"/>
  <c r="F31"/>
  <c r="H31" s="1"/>
  <c r="Q8" l="1"/>
  <c r="R8"/>
  <c r="S8" s="1"/>
  <c r="K8" s="1"/>
  <c r="L8" s="1"/>
  <c r="M8"/>
  <c r="O8" s="1"/>
  <c r="G59"/>
  <c r="B59" s="1"/>
  <c r="D59" s="1"/>
  <c r="G31"/>
  <c r="B31" s="1"/>
  <c r="C31" s="1"/>
  <c r="P9" l="1"/>
  <c r="C59"/>
  <c r="D31"/>
  <c r="F32" s="1"/>
  <c r="G32" s="1"/>
  <c r="Q9" l="1"/>
  <c r="R9"/>
  <c r="S9" s="1"/>
  <c r="F60"/>
  <c r="H60" s="1"/>
  <c r="H32"/>
  <c r="B32" s="1"/>
  <c r="D32" s="1"/>
  <c r="K9" l="1"/>
  <c r="L9" s="1"/>
  <c r="G60"/>
  <c r="C32"/>
  <c r="F33" s="1"/>
  <c r="H33" s="1"/>
  <c r="M9" l="1"/>
  <c r="O9" s="1"/>
  <c r="P10"/>
  <c r="R10" s="1"/>
  <c r="S10" s="1"/>
  <c r="B60"/>
  <c r="D60" s="1"/>
  <c r="G33"/>
  <c r="B33" s="1"/>
  <c r="D33" s="1"/>
  <c r="Q10" l="1"/>
  <c r="K10"/>
  <c r="L10" s="1"/>
  <c r="C60"/>
  <c r="C33"/>
  <c r="F34" s="1"/>
  <c r="H34" s="1"/>
  <c r="M10" l="1"/>
  <c r="O10" s="1"/>
  <c r="P11" s="1"/>
  <c r="R11" s="1"/>
  <c r="S11" s="1"/>
  <c r="F61"/>
  <c r="H61" s="1"/>
  <c r="G34"/>
  <c r="B34" s="1"/>
  <c r="C34" s="1"/>
  <c r="Q11" l="1"/>
  <c r="K11" s="1"/>
  <c r="G61"/>
  <c r="D34"/>
  <c r="F35" s="1"/>
  <c r="G35" s="1"/>
  <c r="L11" l="1"/>
  <c r="M11"/>
  <c r="O11" s="1"/>
  <c r="B61"/>
  <c r="D61" s="1"/>
  <c r="H35"/>
  <c r="B35" s="1"/>
  <c r="P12" l="1"/>
  <c r="Q12" s="1"/>
  <c r="C61"/>
  <c r="C35"/>
  <c r="D35"/>
  <c r="R12" l="1"/>
  <c r="S12" s="1"/>
  <c r="K12" s="1"/>
  <c r="F62"/>
  <c r="H62" s="1"/>
  <c r="F36"/>
  <c r="L12" l="1"/>
  <c r="M12"/>
  <c r="O12" s="1"/>
  <c r="P13" s="1"/>
  <c r="G62"/>
  <c r="B62" s="1"/>
  <c r="D62" s="1"/>
  <c r="G36"/>
  <c r="H36"/>
  <c r="R13" l="1"/>
  <c r="S13" s="1"/>
  <c r="Q13"/>
  <c r="B36"/>
  <c r="D36" s="1"/>
  <c r="C62"/>
  <c r="F63" s="1"/>
  <c r="H63" s="1"/>
  <c r="C36"/>
  <c r="K13" l="1"/>
  <c r="G63"/>
  <c r="F37"/>
  <c r="G37" s="1"/>
  <c r="L13" l="1"/>
  <c r="M13"/>
  <c r="O13" s="1"/>
  <c r="H37"/>
  <c r="B63"/>
  <c r="D63" s="1"/>
  <c r="B37"/>
  <c r="C37" s="1"/>
  <c r="P14" l="1"/>
  <c r="R14" s="1"/>
  <c r="S14" s="1"/>
  <c r="C63"/>
  <c r="F64" s="1"/>
  <c r="H64" s="1"/>
  <c r="D37"/>
  <c r="F38" s="1"/>
  <c r="Q14" l="1"/>
  <c r="K14" s="1"/>
  <c r="G64"/>
  <c r="B64" s="1"/>
  <c r="D64" s="1"/>
  <c r="G38"/>
  <c r="H38"/>
  <c r="L14" l="1"/>
  <c r="M14"/>
  <c r="O14" s="1"/>
  <c r="P15" s="1"/>
  <c r="C64"/>
  <c r="F65" s="1"/>
  <c r="H65" s="1"/>
  <c r="B38"/>
  <c r="C38" s="1"/>
  <c r="Q15" l="1"/>
  <c r="R15"/>
  <c r="S15" s="1"/>
  <c r="G65"/>
  <c r="B65" s="1"/>
  <c r="D65" s="1"/>
  <c r="D38"/>
  <c r="F39" s="1"/>
  <c r="K15" l="1"/>
  <c r="M15" s="1"/>
  <c r="O15" s="1"/>
  <c r="C65"/>
  <c r="F66" s="1"/>
  <c r="H66" s="1"/>
  <c r="G39"/>
  <c r="H39"/>
  <c r="L15" l="1"/>
  <c r="P16"/>
  <c r="B39"/>
  <c r="D39" s="1"/>
  <c r="G66"/>
  <c r="C39"/>
  <c r="Q16" l="1"/>
  <c r="R16"/>
  <c r="S16" s="1"/>
  <c r="B66"/>
  <c r="D66" s="1"/>
  <c r="F40"/>
  <c r="H40" s="1"/>
  <c r="K16" l="1"/>
  <c r="M16" s="1"/>
  <c r="O16" s="1"/>
  <c r="C66"/>
  <c r="F67" s="1"/>
  <c r="H67" s="1"/>
  <c r="G40"/>
  <c r="B40" s="1"/>
  <c r="L16" l="1"/>
  <c r="P17" s="1"/>
  <c r="G67"/>
  <c r="B67" s="1"/>
  <c r="D67" s="1"/>
  <c r="C40"/>
  <c r="D40"/>
  <c r="R17" l="1"/>
  <c r="S17" s="1"/>
  <c r="Q17"/>
  <c r="C67"/>
  <c r="F68" s="1"/>
  <c r="H68" s="1"/>
  <c r="F41"/>
  <c r="K17" l="1"/>
  <c r="G68"/>
  <c r="B68" s="1"/>
  <c r="D68" s="1"/>
  <c r="G41"/>
  <c r="H41"/>
  <c r="M17" l="1"/>
  <c r="O17" s="1"/>
  <c r="L17"/>
  <c r="C68"/>
  <c r="F69" s="1"/>
  <c r="H69" s="1"/>
  <c r="B41"/>
  <c r="D41" s="1"/>
  <c r="P18" l="1"/>
  <c r="C41"/>
  <c r="G69"/>
  <c r="F42"/>
  <c r="H42" s="1"/>
  <c r="R18" l="1"/>
  <c r="S18" s="1"/>
  <c r="Q18"/>
  <c r="B69"/>
  <c r="D69" s="1"/>
  <c r="G42"/>
  <c r="B42" s="1"/>
  <c r="K18" l="1"/>
  <c r="C69"/>
  <c r="F70" s="1"/>
  <c r="H70" s="1"/>
  <c r="C42"/>
  <c r="D42"/>
  <c r="M18" l="1"/>
  <c r="O18" s="1"/>
  <c r="L18"/>
  <c r="G70"/>
  <c r="B70" s="1"/>
  <c r="D70" s="1"/>
  <c r="F43"/>
  <c r="P19" l="1"/>
  <c r="R19" s="1"/>
  <c r="S19" s="1"/>
  <c r="C70"/>
  <c r="F71" s="1"/>
  <c r="H71" s="1"/>
  <c r="G43"/>
  <c r="H43"/>
  <c r="Q19" l="1"/>
  <c r="K19"/>
  <c r="B43"/>
  <c r="D43" s="1"/>
  <c r="G71"/>
  <c r="B71" s="1"/>
  <c r="D71" s="1"/>
  <c r="C43"/>
  <c r="L19" l="1"/>
  <c r="M19"/>
  <c r="O19" s="1"/>
  <c r="C71"/>
  <c r="F72" s="1"/>
  <c r="H72" s="1"/>
  <c r="F44"/>
  <c r="P20" l="1"/>
  <c r="Q20"/>
  <c r="R20"/>
  <c r="S20" s="1"/>
  <c r="K20" s="1"/>
  <c r="G72"/>
  <c r="B72" s="1"/>
  <c r="D72" s="1"/>
  <c r="G44"/>
  <c r="H44"/>
  <c r="M20" l="1"/>
  <c r="O20" s="1"/>
  <c r="L20"/>
  <c r="B44"/>
  <c r="C44" s="1"/>
  <c r="C72"/>
  <c r="D44"/>
  <c r="P21" l="1"/>
  <c r="F73"/>
  <c r="H73" s="1"/>
  <c r="F45"/>
  <c r="G45" s="1"/>
  <c r="Q21" l="1"/>
  <c r="R21"/>
  <c r="S21" s="1"/>
  <c r="G73"/>
  <c r="H45"/>
  <c r="B45" s="1"/>
  <c r="D45" s="1"/>
  <c r="K21" l="1"/>
  <c r="M21" s="1"/>
  <c r="O21" s="1"/>
  <c r="B73"/>
  <c r="D73" s="1"/>
  <c r="C45"/>
  <c r="F46" s="1"/>
  <c r="L21" l="1"/>
  <c r="P22" s="1"/>
  <c r="C73"/>
  <c r="F74" s="1"/>
  <c r="H74" s="1"/>
  <c r="H46"/>
  <c r="G46"/>
  <c r="R22" l="1"/>
  <c r="S22" s="1"/>
  <c r="Q22"/>
  <c r="G74"/>
  <c r="B74" s="1"/>
  <c r="D74" s="1"/>
  <c r="B46"/>
  <c r="K22" l="1"/>
  <c r="C74"/>
  <c r="F75" s="1"/>
  <c r="H75" s="1"/>
  <c r="C46"/>
  <c r="D46"/>
  <c r="L22" l="1"/>
  <c r="M22"/>
  <c r="O22" s="1"/>
  <c r="P23" s="1"/>
  <c r="G75"/>
  <c r="B75" s="1"/>
  <c r="D75" s="1"/>
  <c r="F47"/>
  <c r="R23" l="1"/>
  <c r="S23" s="1"/>
  <c r="Q23"/>
  <c r="C75"/>
  <c r="G47"/>
  <c r="H47"/>
  <c r="K23" l="1"/>
  <c r="L23" s="1"/>
  <c r="B47"/>
  <c r="D47" s="1"/>
  <c r="F76"/>
  <c r="H76" s="1"/>
  <c r="C47"/>
  <c r="M23" l="1"/>
  <c r="O23" s="1"/>
  <c r="P24" s="1"/>
  <c r="G76"/>
  <c r="F48"/>
  <c r="R24" l="1"/>
  <c r="S24" s="1"/>
  <c r="Q24"/>
  <c r="B76"/>
  <c r="D76" s="1"/>
  <c r="G48"/>
  <c r="H48"/>
  <c r="K24" l="1"/>
  <c r="L24" s="1"/>
  <c r="C76"/>
  <c r="B48"/>
  <c r="D48" s="1"/>
  <c r="M24" l="1"/>
  <c r="O24" s="1"/>
  <c r="P25" s="1"/>
  <c r="Q25" s="1"/>
  <c r="C48"/>
  <c r="R25" l="1"/>
  <c r="S25" s="1"/>
  <c r="K25" s="1"/>
  <c r="L25" l="1"/>
  <c r="M25"/>
  <c r="O25" s="1"/>
</calcChain>
</file>

<file path=xl/sharedStrings.xml><?xml version="1.0" encoding="utf-8"?>
<sst xmlns="http://schemas.openxmlformats.org/spreadsheetml/2006/main" count="48" uniqueCount="31">
  <si>
    <t>α</t>
  </si>
  <si>
    <t>β</t>
  </si>
  <si>
    <t>A [ha]</t>
  </si>
  <si>
    <t>t [h]</t>
  </si>
  <si>
    <t>z [mnm]</t>
  </si>
  <si>
    <t>z* [mnm]</t>
  </si>
  <si>
    <t>∆t [s]</t>
  </si>
  <si>
    <r>
      <t>B</t>
    </r>
    <r>
      <rPr>
        <b/>
        <vertAlign val="subscript"/>
        <sz val="11"/>
        <color theme="1"/>
        <rFont val="Calibri"/>
        <family val="2"/>
        <scheme val="minor"/>
      </rPr>
      <t>pr</t>
    </r>
    <r>
      <rPr>
        <b/>
        <sz val="11"/>
        <color theme="1"/>
        <rFont val="Calibri"/>
        <family val="2"/>
        <scheme val="minor"/>
      </rPr>
      <t xml:space="preserve"> [m]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</si>
  <si>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p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</si>
  <si>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ti</t>
    </r>
    <r>
      <rPr>
        <b/>
        <sz val="11"/>
        <color theme="1"/>
        <rFont val="Calibri"/>
        <family val="2"/>
        <scheme val="minor"/>
      </rPr>
      <t xml:space="preserve"> [m]</t>
    </r>
  </si>
  <si>
    <r>
      <t>L</t>
    </r>
    <r>
      <rPr>
        <b/>
        <vertAlign val="subscript"/>
        <sz val="11"/>
        <color theme="1"/>
        <rFont val="Calibri"/>
        <family val="2"/>
        <scheme val="minor"/>
      </rPr>
      <t>ti</t>
    </r>
    <r>
      <rPr>
        <b/>
        <sz val="11"/>
        <color theme="1"/>
        <rFont val="Calibri"/>
        <family val="2"/>
        <scheme val="minor"/>
      </rPr>
      <t xml:space="preserve"> [m]</t>
    </r>
  </si>
  <si>
    <r>
      <t>z</t>
    </r>
    <r>
      <rPr>
        <b/>
        <vertAlign val="subscript"/>
        <sz val="11"/>
        <color theme="1"/>
        <rFont val="Calibri"/>
        <family val="2"/>
        <scheme val="minor"/>
      </rPr>
      <t>kp</t>
    </r>
    <r>
      <rPr>
        <b/>
        <sz val="11"/>
        <color theme="1"/>
        <rFont val="Calibri"/>
        <family val="2"/>
        <scheme val="minor"/>
      </rPr>
      <t xml:space="preserve"> [mnm]</t>
    </r>
  </si>
  <si>
    <r>
      <t>n [m</t>
    </r>
    <r>
      <rPr>
        <b/>
        <vertAlign val="superscript"/>
        <sz val="11"/>
        <color theme="1"/>
        <rFont val="Calibri"/>
        <family val="2"/>
        <scheme val="minor"/>
      </rPr>
      <t>-1/3</t>
    </r>
    <r>
      <rPr>
        <b/>
        <sz val="11"/>
        <color theme="1"/>
        <rFont val="Calibri"/>
        <family val="2"/>
        <scheme val="minor"/>
      </rPr>
      <t>s]</t>
    </r>
  </si>
  <si>
    <r>
      <t>Q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</si>
  <si>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(z)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</si>
  <si>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(z)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</si>
  <si>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d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</si>
  <si>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(z*)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</si>
  <si>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p</t>
    </r>
    <r>
      <rPr>
        <b/>
        <sz val="11"/>
        <color theme="1"/>
        <rFont val="Calibri"/>
        <family val="2"/>
        <scheme val="minor"/>
      </rPr>
      <t>(z*)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</si>
  <si>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t>t [s]</t>
  </si>
  <si>
    <t>TAČKA 1</t>
  </si>
  <si>
    <t>TAČKA 2</t>
  </si>
  <si>
    <t>Iz proračuna se može zaključiti da je potrebno da početna kota nivoa u jezeru bude 91.36 [mnm] da bi maksimalni protok preko preliva bio duplo manji od maksimalnog protoka preko preliva izračunatog u prvoj tački.</t>
  </si>
  <si>
    <t>TAČKA 3</t>
  </si>
  <si>
    <t>λ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</si>
  <si>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ml</t>
    </r>
    <r>
      <rPr>
        <b/>
        <sz val="11"/>
        <color theme="1"/>
        <rFont val="Calibri"/>
        <family val="2"/>
        <scheme val="minor"/>
      </rPr>
      <t xml:space="preserve"> [m/s]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</si>
  <si>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isp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/s]</t>
    </r>
  </si>
  <si>
    <r>
      <t>v</t>
    </r>
    <r>
      <rPr>
        <b/>
        <vertAlign val="subscript"/>
        <sz val="11"/>
        <color theme="1"/>
        <rFont val="Calibri"/>
        <family val="2"/>
        <scheme val="minor"/>
      </rPr>
      <t>ml</t>
    </r>
    <r>
      <rPr>
        <b/>
        <sz val="11"/>
        <color theme="1"/>
        <rFont val="Calibri"/>
        <family val="2"/>
        <scheme val="minor"/>
      </rPr>
      <t>* [m/s]</t>
    </r>
  </si>
  <si>
    <r>
      <t>A</t>
    </r>
    <r>
      <rPr>
        <b/>
        <vertAlign val="subscript"/>
        <sz val="11"/>
        <color theme="1"/>
        <rFont val="Calibri"/>
        <family val="2"/>
        <scheme val="minor"/>
      </rPr>
      <t>ti</t>
    </r>
    <r>
      <rPr>
        <b/>
        <sz val="11"/>
        <color theme="1"/>
        <rFont val="Calibri"/>
        <family val="2"/>
        <scheme val="minor"/>
      </rPr>
      <t xml:space="preserve"> [m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]</t>
    </r>
  </si>
  <si>
    <r>
      <t>z</t>
    </r>
    <r>
      <rPr>
        <b/>
        <vertAlign val="subscript"/>
        <sz val="11"/>
        <color theme="1"/>
        <rFont val="Calibri"/>
        <family val="2"/>
        <scheme val="minor"/>
      </rPr>
      <t>isp</t>
    </r>
    <r>
      <rPr>
        <b/>
        <sz val="11"/>
        <color theme="1"/>
        <rFont val="Calibri"/>
        <family val="2"/>
        <scheme val="minor"/>
      </rPr>
      <t xml:space="preserve"> [mnm]</t>
    </r>
  </si>
  <si>
    <t>Potrebno je 4.38 sati da bi se akumulacija, kroz temeljni ispust, ispraznila do kote izračunate u prethodnoj tački.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</si>
</sst>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16" xfId="0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0" fontId="0" fillId="0" borderId="0" xfId="0" applyBorder="1"/>
    <xf numFmtId="164" fontId="0" fillId="0" borderId="9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0" fillId="0" borderId="18" xfId="0" applyBorder="1" applyAlignment="1">
      <alignment horizontal="center"/>
    </xf>
    <xf numFmtId="2" fontId="0" fillId="0" borderId="19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2" fontId="0" fillId="0" borderId="0" xfId="0" applyNumberFormat="1"/>
    <xf numFmtId="1" fontId="0" fillId="0" borderId="9" xfId="0" applyNumberFormat="1" applyFill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165" fontId="0" fillId="0" borderId="9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165" fontId="0" fillId="0" borderId="14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1" fontId="0" fillId="0" borderId="19" xfId="0" applyNumberFormat="1" applyFill="1" applyBorder="1" applyAlignment="1">
      <alignment horizontal="center"/>
    </xf>
    <xf numFmtId="165" fontId="0" fillId="0" borderId="19" xfId="0" applyNumberFormat="1" applyFill="1" applyBorder="1" applyAlignment="1">
      <alignment horizontal="center"/>
    </xf>
    <xf numFmtId="164" fontId="0" fillId="0" borderId="19" xfId="0" applyNumberFormat="1" applyFill="1" applyBorder="1" applyAlignment="1">
      <alignment horizontal="center"/>
    </xf>
    <xf numFmtId="0" fontId="0" fillId="2" borderId="19" xfId="0" applyFill="1" applyBorder="1"/>
    <xf numFmtId="0" fontId="0" fillId="2" borderId="20" xfId="0" applyFill="1" applyBorder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2" fontId="0" fillId="3" borderId="14" xfId="0" applyNumberForma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1" fillId="0" borderId="22" xfId="0" applyFon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left" wrapText="1"/>
    </xf>
    <xf numFmtId="2" fontId="0" fillId="0" borderId="16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Kriva promene </a:t>
            </a:r>
            <a:r>
              <a:rPr lang="sr-Latn-CS" sz="1600"/>
              <a:t>površine</a:t>
            </a:r>
            <a:r>
              <a:rPr lang="sr-Latn-CS" sz="1600" baseline="0"/>
              <a:t> vodenog ogledala</a:t>
            </a:r>
            <a:endParaRPr lang="en-US" sz="1600"/>
          </a:p>
        </c:rich>
      </c:tx>
      <c:layout/>
    </c:title>
    <c:plotArea>
      <c:layout>
        <c:manualLayout>
          <c:layoutTarget val="inner"/>
          <c:xMode val="edge"/>
          <c:yMode val="edge"/>
          <c:x val="0.16927735244167158"/>
          <c:y val="0.2947620118913708"/>
          <c:w val="0.7796616080429396"/>
          <c:h val="0.50558680164979353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Proracun!$E$5:$F$5</c:f>
              <c:numCache>
                <c:formatCode>General</c:formatCode>
                <c:ptCount val="2"/>
                <c:pt idx="0">
                  <c:v>13</c:v>
                </c:pt>
                <c:pt idx="1">
                  <c:v>10</c:v>
                </c:pt>
              </c:numCache>
            </c:numRef>
          </c:xVal>
          <c:yVal>
            <c:numRef>
              <c:f>Proracun!$E$4:$F$4</c:f>
              <c:numCache>
                <c:formatCode>General</c:formatCode>
                <c:ptCount val="2"/>
                <c:pt idx="0">
                  <c:v>103.4</c:v>
                </c:pt>
                <c:pt idx="1">
                  <c:v>96.6</c:v>
                </c:pt>
              </c:numCache>
            </c:numRef>
          </c:yVal>
        </c:ser>
        <c:axId val="80357248"/>
        <c:axId val="97292672"/>
      </c:scatterChart>
      <c:valAx>
        <c:axId val="80357248"/>
        <c:scaling>
          <c:orientation val="minMax"/>
          <c:max val="13"/>
          <c:min val="10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 [ha]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292672"/>
        <c:crosses val="autoZero"/>
        <c:crossBetween val="midCat"/>
      </c:valAx>
      <c:valAx>
        <c:axId val="9729267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 [mnm]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8035724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600"/>
              <a:t>Hidrogram</a:t>
            </a:r>
            <a:r>
              <a:rPr lang="en-US" sz="1600" baseline="0"/>
              <a:t> ulaznog talasa</a:t>
            </a:r>
            <a:endParaRPr lang="en-US" sz="1600"/>
          </a:p>
        </c:rich>
      </c:tx>
      <c:layout/>
    </c:title>
    <c:plotArea>
      <c:layout>
        <c:manualLayout>
          <c:layoutTarget val="inner"/>
          <c:xMode val="edge"/>
          <c:yMode val="edge"/>
          <c:x val="0.19418162729658769"/>
          <c:y val="0.21568718195939804"/>
          <c:w val="0.76788521434820733"/>
          <c:h val="0.55745074722802512"/>
        </c:manualLayout>
      </c:layout>
      <c:scatterChart>
        <c:scatterStyle val="lineMarker"/>
        <c:ser>
          <c:idx val="0"/>
          <c:order val="0"/>
          <c:marker>
            <c:symbol val="none"/>
          </c:marker>
          <c:xVal>
            <c:numRef>
              <c:f>Proracun!$E$7:$G$7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3</c:v>
                </c:pt>
              </c:numCache>
            </c:numRef>
          </c:xVal>
          <c:yVal>
            <c:numRef>
              <c:f>Proracun!$E$8:$G$8</c:f>
              <c:numCache>
                <c:formatCode>General</c:formatCode>
                <c:ptCount val="3"/>
                <c:pt idx="0">
                  <c:v>0</c:v>
                </c:pt>
                <c:pt idx="1">
                  <c:v>200</c:v>
                </c:pt>
                <c:pt idx="2">
                  <c:v>0</c:v>
                </c:pt>
              </c:numCache>
            </c:numRef>
          </c:yVal>
        </c:ser>
        <c:axId val="97329152"/>
        <c:axId val="97331072"/>
      </c:scatterChart>
      <c:valAx>
        <c:axId val="97329152"/>
        <c:scaling>
          <c:orientation val="minMax"/>
          <c:max val="3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[h]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331072"/>
        <c:crosses val="autoZero"/>
        <c:crossBetween val="midCat"/>
      </c:valAx>
      <c:valAx>
        <c:axId val="97331072"/>
        <c:scaling>
          <c:orientation val="minMax"/>
          <c:max val="2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strike="noStrike" baseline="30000"/>
                  <a:t>3</a:t>
                </a:r>
                <a:r>
                  <a:rPr lang="en-US"/>
                  <a:t>/s]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97329152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Hidrogrami</a:t>
            </a:r>
            <a:r>
              <a:rPr lang="en-US" baseline="0"/>
              <a:t> doticaja i prelivanja</a:t>
            </a:r>
            <a:endParaRPr lang="en-US"/>
          </a:p>
        </c:rich>
      </c:tx>
    </c:title>
    <c:plotArea>
      <c:layout>
        <c:manualLayout>
          <c:layoutTarget val="inner"/>
          <c:xMode val="edge"/>
          <c:yMode val="edge"/>
          <c:x val="8.2998388159206821E-2"/>
          <c:y val="8.491326654488647E-2"/>
          <c:w val="0.88987998691344838"/>
          <c:h val="0.80674761619651636"/>
        </c:manualLayout>
      </c:layout>
      <c:scatterChart>
        <c:scatterStyle val="lineMarker"/>
        <c:ser>
          <c:idx val="0"/>
          <c:order val="0"/>
          <c:tx>
            <c:v>Qdot</c:v>
          </c:tx>
          <c:spPr>
            <a:ln w="2540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Proracun!$E$7:$G$7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3</c:v>
                </c:pt>
              </c:numCache>
            </c:numRef>
          </c:xVal>
          <c:yVal>
            <c:numRef>
              <c:f>Proracun!$E$8:$G$8</c:f>
              <c:numCache>
                <c:formatCode>General</c:formatCode>
                <c:ptCount val="3"/>
                <c:pt idx="0">
                  <c:v>0</c:v>
                </c:pt>
                <c:pt idx="1">
                  <c:v>200</c:v>
                </c:pt>
                <c:pt idx="2">
                  <c:v>0</c:v>
                </c:pt>
              </c:numCache>
            </c:numRef>
          </c:yVal>
        </c:ser>
        <c:ser>
          <c:idx val="1"/>
          <c:order val="1"/>
          <c:tx>
            <c:v>Qp100</c:v>
          </c:tx>
          <c:spPr>
            <a:ln w="25400">
              <a:solidFill>
                <a:sysClr val="windowText" lastClr="000000"/>
              </a:solidFill>
              <a:prstDash val="sysDash"/>
            </a:ln>
          </c:spPr>
          <c:marker>
            <c:symbol val="none"/>
          </c:marker>
          <c:xVal>
            <c:numRef>
              <c:f>Proracun!$H$1:$H$19</c:f>
              <c:numCache>
                <c:formatCode>General</c:formatCode>
                <c:ptCount val="19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</c:numCache>
            </c:numRef>
          </c:xVal>
          <c:yVal>
            <c:numRef>
              <c:f>Proracun!$D$30:$D$48</c:f>
              <c:numCache>
                <c:formatCode>0.000</c:formatCode>
                <c:ptCount val="19"/>
                <c:pt idx="0">
                  <c:v>0</c:v>
                </c:pt>
                <c:pt idx="1">
                  <c:v>13.696394927720943</c:v>
                </c:pt>
                <c:pt idx="2">
                  <c:v>23.608833424067559</c:v>
                </c:pt>
                <c:pt idx="3">
                  <c:v>34.233503336175396</c:v>
                </c:pt>
                <c:pt idx="4">
                  <c:v>44.980628200091267</c:v>
                </c:pt>
                <c:pt idx="5">
                  <c:v>55.695904487909729</c:v>
                </c:pt>
                <c:pt idx="6">
                  <c:v>66.31304407143665</c:v>
                </c:pt>
                <c:pt idx="7">
                  <c:v>75.115146283487491</c:v>
                </c:pt>
                <c:pt idx="8">
                  <c:v>81.366081598793855</c:v>
                </c:pt>
                <c:pt idx="9">
                  <c:v>85.822088241255173</c:v>
                </c:pt>
                <c:pt idx="10">
                  <c:v>88.887032970831314</c:v>
                </c:pt>
                <c:pt idx="11">
                  <c:v>90.798935526786323</c:v>
                </c:pt>
                <c:pt idx="12">
                  <c:v>91.70393664452358</c:v>
                </c:pt>
                <c:pt idx="13">
                  <c:v>91.690447271478845</c:v>
                </c:pt>
                <c:pt idx="14">
                  <c:v>90.806088444235883</c:v>
                </c:pt>
                <c:pt idx="15">
                  <c:v>89.065807685260353</c:v>
                </c:pt>
                <c:pt idx="16">
                  <c:v>86.454439154166465</c:v>
                </c:pt>
                <c:pt idx="17">
                  <c:v>82.924563461951365</c:v>
                </c:pt>
                <c:pt idx="18">
                  <c:v>78.388676943815497</c:v>
                </c:pt>
              </c:numCache>
            </c:numRef>
          </c:yVal>
        </c:ser>
        <c:ser>
          <c:idx val="2"/>
          <c:order val="2"/>
          <c:tx>
            <c:v>Qp50</c:v>
          </c:tx>
          <c:spPr>
            <a:ln w="25400"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Proracun!$H$1:$H$19</c:f>
              <c:numCache>
                <c:formatCode>General</c:formatCode>
                <c:ptCount val="19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0.83333333333333337</c:v>
                </c:pt>
                <c:pt idx="6">
                  <c:v>1</c:v>
                </c:pt>
                <c:pt idx="7">
                  <c:v>1.1666666666666667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1.8333333333333333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2.3333333333333335</c:v>
                </c:pt>
                <c:pt idx="15">
                  <c:v>2.5</c:v>
                </c:pt>
                <c:pt idx="16">
                  <c:v>2.6666666666666665</c:v>
                </c:pt>
                <c:pt idx="17">
                  <c:v>2.8333333333333335</c:v>
                </c:pt>
                <c:pt idx="18">
                  <c:v>3</c:v>
                </c:pt>
              </c:numCache>
            </c:numRef>
          </c:xVal>
          <c:yVal>
            <c:numRef>
              <c:f>Proracun!$D$58:$D$76</c:f>
              <c:numCache>
                <c:formatCode>0.000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6.0955334230595586</c:v>
                </c:pt>
                <c:pt idx="12">
                  <c:v>31.817062915381626</c:v>
                </c:pt>
                <c:pt idx="13">
                  <c:v>40.182653964715605</c:v>
                </c:pt>
                <c:pt idx="14">
                  <c:v>44.323639902111282</c:v>
                </c:pt>
                <c:pt idx="15">
                  <c:v>45.852037598300228</c:v>
                </c:pt>
                <c:pt idx="16">
                  <c:v>45.325540241423141</c:v>
                </c:pt>
                <c:pt idx="17">
                  <c:v>42.91024781363965</c:v>
                </c:pt>
                <c:pt idx="18">
                  <c:v>38.500788178134499</c:v>
                </c:pt>
              </c:numCache>
            </c:numRef>
          </c:yVal>
        </c:ser>
        <c:axId val="97383168"/>
        <c:axId val="97385088"/>
      </c:scatterChart>
      <c:valAx>
        <c:axId val="97383168"/>
        <c:scaling>
          <c:orientation val="minMax"/>
          <c:max val="3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 [h]</a:t>
                </a:r>
              </a:p>
            </c:rich>
          </c:tx>
        </c:title>
        <c:numFmt formatCode="General" sourceLinked="1"/>
        <c:majorTickMark val="none"/>
        <c:tickLblPos val="nextTo"/>
        <c:crossAx val="97385088"/>
        <c:crosses val="autoZero"/>
        <c:crossBetween val="midCat"/>
      </c:valAx>
      <c:valAx>
        <c:axId val="97385088"/>
        <c:scaling>
          <c:orientation val="minMax"/>
          <c:max val="2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Q [m</a:t>
                </a:r>
                <a:r>
                  <a:rPr lang="en-US" baseline="30000"/>
                  <a:t>3</a:t>
                </a:r>
                <a:r>
                  <a:rPr lang="en-US"/>
                  <a:t>/s]</a:t>
                </a:r>
              </a:p>
            </c:rich>
          </c:tx>
        </c:title>
        <c:numFmt formatCode="General" sourceLinked="1"/>
        <c:majorTickMark val="none"/>
        <c:tickLblPos val="nextTo"/>
        <c:crossAx val="973831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3325694900279592"/>
          <c:y val="0.27875087553374195"/>
          <c:w val="0.132050247194265"/>
          <c:h val="0.1942316786222309"/>
        </c:manualLayout>
      </c:layout>
      <c:spPr>
        <a:solidFill>
          <a:schemeClr val="bg1"/>
        </a:solidFill>
        <a:ln>
          <a:solidFill>
            <a:schemeClr val="tx1"/>
          </a:solidFill>
        </a:ln>
      </c:spPr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1" right="0.25" top="0.25" bottom="0.25" header="0" footer="0"/>
  <pageSetup paperSize="9" orientation="landscape" horizontalDpi="300" verticalDpi="300" copies="0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12</xdr:row>
      <xdr:rowOff>104775</xdr:rowOff>
    </xdr:from>
    <xdr:to>
      <xdr:col>4</xdr:col>
      <xdr:colOff>333375</xdr:colOff>
      <xdr:row>24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371476</xdr:colOff>
      <xdr:row>12</xdr:row>
      <xdr:rowOff>104775</xdr:rowOff>
    </xdr:from>
    <xdr:to>
      <xdr:col>8</xdr:col>
      <xdr:colOff>561976</xdr:colOff>
      <xdr:row>24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175461" y="426119"/>
    <xdr:ext cx="8674554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0"/>
  <sheetViews>
    <sheetView tabSelected="1" workbookViewId="0">
      <selection activeCell="F2" sqref="F2"/>
    </sheetView>
  </sheetViews>
  <sheetFormatPr defaultRowHeight="15"/>
  <cols>
    <col min="1" max="1" width="8.5703125" customWidth="1"/>
    <col min="2" max="2" width="7.7109375" customWidth="1"/>
    <col min="4" max="4" width="11.140625" customWidth="1"/>
    <col min="5" max="6" width="8.85546875" customWidth="1"/>
    <col min="7" max="7" width="10.28515625" customWidth="1"/>
    <col min="8" max="8" width="12" customWidth="1"/>
    <col min="10" max="10" width="6.28515625" customWidth="1"/>
    <col min="11" max="11" width="7.7109375" customWidth="1"/>
    <col min="12" max="12" width="9.7109375" customWidth="1"/>
    <col min="13" max="13" width="8.5703125" customWidth="1"/>
    <col min="15" max="15" width="10.85546875" customWidth="1"/>
    <col min="17" max="17" width="10" customWidth="1"/>
    <col min="19" max="19" width="10.5703125" customWidth="1"/>
  </cols>
  <sheetData>
    <row r="1" spans="1:19" ht="15.75" thickBot="1">
      <c r="E1" s="2"/>
      <c r="F1" s="2"/>
      <c r="G1" s="2"/>
      <c r="H1" s="77">
        <f t="shared" ref="H1:H19" si="0">A30/3600</f>
        <v>0</v>
      </c>
      <c r="J1" s="45" t="s">
        <v>23</v>
      </c>
    </row>
    <row r="2" spans="1:19" ht="16.5" thickTop="1" thickBot="1">
      <c r="A2" s="4" t="s">
        <v>0</v>
      </c>
      <c r="B2" s="5">
        <v>6.8</v>
      </c>
      <c r="C2" s="4" t="s">
        <v>1</v>
      </c>
      <c r="D2" s="6">
        <v>11.4</v>
      </c>
      <c r="E2" s="2"/>
      <c r="F2" s="2"/>
      <c r="G2" s="2"/>
      <c r="H2" s="77">
        <f t="shared" si="0"/>
        <v>0.16666666666666666</v>
      </c>
    </row>
    <row r="3" spans="1:19" ht="20.25" thickTop="1" thickBot="1">
      <c r="H3" s="77">
        <f t="shared" si="0"/>
        <v>0.33333333333333331</v>
      </c>
      <c r="J3" s="70" t="s">
        <v>24</v>
      </c>
      <c r="K3" s="75">
        <f>124.6*(B9^2)/(B6^1/3)</f>
        <v>3.4235887850467293E-2</v>
      </c>
      <c r="L3" s="71" t="s">
        <v>28</v>
      </c>
      <c r="M3" s="76">
        <f>(B6^2)*PI()/4</f>
        <v>3.5968094290949542</v>
      </c>
    </row>
    <row r="4" spans="1:19" ht="19.5" thickTop="1" thickBot="1">
      <c r="A4" s="7" t="s">
        <v>7</v>
      </c>
      <c r="B4" s="10">
        <f>10+D2</f>
        <v>21.4</v>
      </c>
      <c r="C4" s="2"/>
      <c r="D4" s="16" t="s">
        <v>4</v>
      </c>
      <c r="E4" s="22">
        <f>100+B2/2</f>
        <v>103.4</v>
      </c>
      <c r="F4" s="24">
        <f>100-B2/2</f>
        <v>96.6</v>
      </c>
      <c r="G4" s="2"/>
      <c r="H4" s="77">
        <f t="shared" si="0"/>
        <v>0.5</v>
      </c>
      <c r="J4" s="72" t="s">
        <v>6</v>
      </c>
      <c r="K4" s="73">
        <v>875.18494960902046</v>
      </c>
      <c r="L4" s="74" t="s">
        <v>29</v>
      </c>
      <c r="M4" s="12">
        <v>81</v>
      </c>
    </row>
    <row r="5" spans="1:19" ht="19.5" thickTop="1" thickBot="1">
      <c r="A5" s="8" t="s">
        <v>8</v>
      </c>
      <c r="B5" s="11">
        <v>0.49</v>
      </c>
      <c r="C5" s="2"/>
      <c r="D5" s="21" t="s">
        <v>2</v>
      </c>
      <c r="E5" s="25">
        <v>13</v>
      </c>
      <c r="F5" s="27">
        <v>10</v>
      </c>
      <c r="G5" s="2"/>
      <c r="H5" s="77">
        <f t="shared" si="0"/>
        <v>0.66666666666666663</v>
      </c>
    </row>
    <row r="6" spans="1:19" ht="20.25" thickTop="1" thickBot="1">
      <c r="A6" s="8" t="s">
        <v>9</v>
      </c>
      <c r="B6" s="11">
        <f>1+D2/10</f>
        <v>2.14</v>
      </c>
      <c r="C6" s="2"/>
      <c r="D6" s="3"/>
      <c r="E6" s="2"/>
      <c r="F6" s="2"/>
      <c r="G6" s="2"/>
      <c r="H6" s="77">
        <f t="shared" si="0"/>
        <v>0.83333333333333337</v>
      </c>
      <c r="J6" s="66" t="s">
        <v>3</v>
      </c>
      <c r="K6" s="67" t="s">
        <v>4</v>
      </c>
      <c r="L6" s="67" t="s">
        <v>14</v>
      </c>
      <c r="M6" s="67" t="s">
        <v>25</v>
      </c>
      <c r="N6" s="67" t="s">
        <v>16</v>
      </c>
      <c r="O6" s="67" t="s">
        <v>26</v>
      </c>
      <c r="P6" s="67" t="s">
        <v>5</v>
      </c>
      <c r="Q6" s="67" t="s">
        <v>17</v>
      </c>
      <c r="R6" s="67" t="s">
        <v>27</v>
      </c>
      <c r="S6" s="68" t="s">
        <v>26</v>
      </c>
    </row>
    <row r="7" spans="1:19" ht="18.75" thickTop="1">
      <c r="A7" s="8" t="s">
        <v>10</v>
      </c>
      <c r="B7" s="11">
        <f>10+B2</f>
        <v>16.8</v>
      </c>
      <c r="C7" s="2"/>
      <c r="D7" s="16" t="s">
        <v>3</v>
      </c>
      <c r="E7" s="22">
        <v>0</v>
      </c>
      <c r="F7" s="23">
        <v>1</v>
      </c>
      <c r="G7" s="24">
        <v>3</v>
      </c>
      <c r="H7" s="77">
        <f t="shared" si="0"/>
        <v>1</v>
      </c>
      <c r="J7" s="59">
        <v>0</v>
      </c>
      <c r="K7" s="60">
        <f>B8</f>
        <v>100</v>
      </c>
      <c r="L7" s="61">
        <f>(K7-73.929)/0.0002267</f>
        <v>115002.20555800616</v>
      </c>
      <c r="M7" s="62">
        <v>0</v>
      </c>
      <c r="N7" s="61">
        <v>0</v>
      </c>
      <c r="O7" s="63">
        <f t="shared" ref="O7:O25" si="1">M7*$M$3</f>
        <v>0</v>
      </c>
      <c r="P7" s="50"/>
      <c r="Q7" s="50"/>
      <c r="R7" s="64"/>
      <c r="S7" s="65"/>
    </row>
    <row r="8" spans="1:19" ht="19.5" thickBot="1">
      <c r="A8" s="8" t="s">
        <v>11</v>
      </c>
      <c r="B8" s="11">
        <v>100</v>
      </c>
      <c r="C8" s="2"/>
      <c r="D8" s="21" t="s">
        <v>13</v>
      </c>
      <c r="E8" s="25">
        <v>0</v>
      </c>
      <c r="F8" s="26">
        <v>200</v>
      </c>
      <c r="G8" s="27">
        <v>0</v>
      </c>
      <c r="H8" s="77">
        <f t="shared" si="0"/>
        <v>1.1666666666666667</v>
      </c>
      <c r="J8" s="79">
        <f>(J7*3600+$K$4)/3600</f>
        <v>0.24310693044695014</v>
      </c>
      <c r="K8" s="54">
        <f t="shared" ref="K8:K25" si="2">K7+($K$4/2)*((N7-O7)/L7+(N8-S8)/Q8)</f>
        <v>99.765406299740249</v>
      </c>
      <c r="L8" s="53">
        <f t="shared" ref="L8:L25" si="3">(K8-73.929)/0.0002267</f>
        <v>113967.38553039367</v>
      </c>
      <c r="M8" s="55">
        <f t="shared" ref="M8:M25" si="4">SQRT((K8-$M$4)*2*9.81/(1+$K$3*$B$7/$B$6))</f>
        <v>17.034815238183199</v>
      </c>
      <c r="N8" s="53">
        <v>0</v>
      </c>
      <c r="O8" s="40">
        <f t="shared" si="1"/>
        <v>61.270984071587741</v>
      </c>
      <c r="P8" s="53">
        <f t="shared" ref="P8:P25" si="5">K7+$K$4*(N7-O7)/L7</f>
        <v>100</v>
      </c>
      <c r="Q8" s="53">
        <f>(P8-73.929)/0.0002267</f>
        <v>115002.20555800616</v>
      </c>
      <c r="R8" s="55">
        <f t="shared" ref="R8:R25" si="6">SQRT((P8-$M$4)*2*9.81/(1+$K$3*$B$7/$B$6))</f>
        <v>17.140963968370976</v>
      </c>
      <c r="S8" s="34">
        <f t="shared" ref="S8:S25" si="7">R8*$M$3</f>
        <v>61.65278082521359</v>
      </c>
    </row>
    <row r="9" spans="1:19" ht="18.75" thickTop="1" thickBot="1">
      <c r="A9" s="9" t="s">
        <v>12</v>
      </c>
      <c r="B9" s="12">
        <v>1.4E-2</v>
      </c>
      <c r="C9" s="2"/>
      <c r="D9" s="2"/>
      <c r="E9" s="2"/>
      <c r="F9" s="2"/>
      <c r="G9" s="2"/>
      <c r="H9" s="77">
        <f t="shared" si="0"/>
        <v>1.3333333333333333</v>
      </c>
      <c r="J9" s="79">
        <f t="shared" ref="J9:J25" si="8">(J8*3600+$K$4)/3600</f>
        <v>0.48621386089390028</v>
      </c>
      <c r="K9" s="54">
        <f t="shared" si="2"/>
        <v>99.293549932116647</v>
      </c>
      <c r="L9" s="53">
        <f t="shared" si="3"/>
        <v>111885.97235163937</v>
      </c>
      <c r="M9" s="55">
        <f t="shared" si="4"/>
        <v>16.819281394608083</v>
      </c>
      <c r="N9" s="53">
        <v>0</v>
      </c>
      <c r="O9" s="40">
        <f t="shared" si="1"/>
        <v>60.495749910727682</v>
      </c>
      <c r="P9" s="53">
        <f t="shared" si="5"/>
        <v>99.294890609153597</v>
      </c>
      <c r="Q9" s="53">
        <f t="shared" ref="Q9:Q25" si="9">(P9-73.929)/0.0002267</f>
        <v>111891.88623358445</v>
      </c>
      <c r="R9" s="55">
        <f t="shared" si="6"/>
        <v>16.81989769957082</v>
      </c>
      <c r="S9" s="34">
        <f t="shared" si="7"/>
        <v>60.497966642228853</v>
      </c>
    </row>
    <row r="10" spans="1:19" ht="15.75" thickTop="1">
      <c r="H10" s="77">
        <f t="shared" si="0"/>
        <v>1.5</v>
      </c>
      <c r="J10" s="79">
        <f t="shared" si="8"/>
        <v>0.72932079134085037</v>
      </c>
      <c r="K10" s="54">
        <f t="shared" si="2"/>
        <v>98.818985950432378</v>
      </c>
      <c r="L10" s="53">
        <f t="shared" si="3"/>
        <v>109792.61557314677</v>
      </c>
      <c r="M10" s="55">
        <f t="shared" si="4"/>
        <v>16.599688340361851</v>
      </c>
      <c r="N10" s="53">
        <v>0</v>
      </c>
      <c r="O10" s="40">
        <f t="shared" si="1"/>
        <v>59.705915542651077</v>
      </c>
      <c r="P10" s="53">
        <f t="shared" si="5"/>
        <v>98.820345215525521</v>
      </c>
      <c r="Q10" s="53">
        <f t="shared" si="9"/>
        <v>109798.61144916418</v>
      </c>
      <c r="R10" s="55">
        <f t="shared" si="6"/>
        <v>16.600321455700271</v>
      </c>
      <c r="S10" s="34">
        <f t="shared" si="7"/>
        <v>59.708192737870014</v>
      </c>
    </row>
    <row r="11" spans="1:19">
      <c r="A11" s="44" t="s">
        <v>20</v>
      </c>
      <c r="H11" s="77">
        <f t="shared" si="0"/>
        <v>1.6666666666666667</v>
      </c>
      <c r="J11" s="79">
        <f t="shared" si="8"/>
        <v>0.97242772178780057</v>
      </c>
      <c r="K11" s="54">
        <f t="shared" si="2"/>
        <v>98.341677745570976</v>
      </c>
      <c r="L11" s="53">
        <f t="shared" si="3"/>
        <v>107687.15370785608</v>
      </c>
      <c r="M11" s="55">
        <f t="shared" si="4"/>
        <v>16.375855494615575</v>
      </c>
      <c r="N11" s="53">
        <v>0</v>
      </c>
      <c r="O11" s="40">
        <f t="shared" si="1"/>
        <v>58.900831452529715</v>
      </c>
      <c r="P11" s="53">
        <f t="shared" si="5"/>
        <v>98.343054865151487</v>
      </c>
      <c r="Q11" s="53">
        <f t="shared" si="9"/>
        <v>107693.22834208859</v>
      </c>
      <c r="R11" s="55">
        <f t="shared" si="6"/>
        <v>16.376505693053367</v>
      </c>
      <c r="S11" s="34">
        <f t="shared" si="7"/>
        <v>58.903170092401552</v>
      </c>
    </row>
    <row r="12" spans="1:19">
      <c r="H12" s="77">
        <f t="shared" si="0"/>
        <v>1.8333333333333333</v>
      </c>
      <c r="J12" s="79">
        <f t="shared" si="8"/>
        <v>1.2155346522347505</v>
      </c>
      <c r="K12" s="54">
        <f t="shared" si="2"/>
        <v>97.861590423461948</v>
      </c>
      <c r="L12" s="53">
        <f t="shared" si="3"/>
        <v>105569.43283397418</v>
      </c>
      <c r="M12" s="55">
        <f t="shared" si="4"/>
        <v>16.147589838283036</v>
      </c>
      <c r="N12" s="53">
        <v>0</v>
      </c>
      <c r="O12" s="40">
        <f t="shared" si="1"/>
        <v>58.079803387494287</v>
      </c>
      <c r="P12" s="53">
        <f t="shared" si="5"/>
        <v>97.862984424856421</v>
      </c>
      <c r="Q12" s="53">
        <f t="shared" si="9"/>
        <v>105575.58193584657</v>
      </c>
      <c r="R12" s="55">
        <f t="shared" si="6"/>
        <v>16.148257310833589</v>
      </c>
      <c r="S12" s="34">
        <f t="shared" si="7"/>
        <v>58.082204159057781</v>
      </c>
    </row>
    <row r="13" spans="1:19">
      <c r="H13" s="77">
        <f t="shared" si="0"/>
        <v>2</v>
      </c>
      <c r="J13" s="79">
        <f t="shared" si="8"/>
        <v>1.4586415826817007</v>
      </c>
      <c r="K13" s="54">
        <f t="shared" si="2"/>
        <v>97.378691334871647</v>
      </c>
      <c r="L13" s="53">
        <f t="shared" si="3"/>
        <v>103439.30893194373</v>
      </c>
      <c r="M13" s="55">
        <f t="shared" si="4"/>
        <v>15.91468477004276</v>
      </c>
      <c r="N13" s="53">
        <v>0</v>
      </c>
      <c r="O13" s="40">
        <f t="shared" si="1"/>
        <v>57.242088241963657</v>
      </c>
      <c r="P13" s="53">
        <f t="shared" si="5"/>
        <v>97.38010095784243</v>
      </c>
      <c r="Q13" s="53">
        <f t="shared" si="9"/>
        <v>103445.52694240153</v>
      </c>
      <c r="R13" s="55">
        <f t="shared" si="6"/>
        <v>15.915369599559986</v>
      </c>
      <c r="S13" s="34">
        <f t="shared" si="7"/>
        <v>57.244551443228545</v>
      </c>
    </row>
    <row r="14" spans="1:19">
      <c r="H14" s="77">
        <f t="shared" si="0"/>
        <v>2.1666666666666665</v>
      </c>
      <c r="J14" s="79">
        <f t="shared" si="8"/>
        <v>1.7017485131286512</v>
      </c>
      <c r="K14" s="54">
        <f t="shared" si="2"/>
        <v>96.892950712706252</v>
      </c>
      <c r="L14" s="53">
        <f t="shared" si="3"/>
        <v>101296.65069566056</v>
      </c>
      <c r="M14" s="55">
        <f t="shared" si="4"/>
        <v>15.676918833134138</v>
      </c>
      <c r="N14" s="53">
        <v>0</v>
      </c>
      <c r="O14" s="40">
        <f t="shared" si="1"/>
        <v>56.386889478173131</v>
      </c>
      <c r="P14" s="53">
        <f t="shared" si="5"/>
        <v>96.894374351020573</v>
      </c>
      <c r="Q14" s="53">
        <f t="shared" si="9"/>
        <v>101302.93052942466</v>
      </c>
      <c r="R14" s="55">
        <f t="shared" si="6"/>
        <v>15.677620960855037</v>
      </c>
      <c r="S14" s="34">
        <f t="shared" si="7"/>
        <v>56.389414897780092</v>
      </c>
    </row>
    <row r="15" spans="1:19">
      <c r="H15" s="77">
        <f t="shared" si="0"/>
        <v>2.3333333333333335</v>
      </c>
      <c r="J15" s="79">
        <f t="shared" si="8"/>
        <v>1.9448554435756014</v>
      </c>
      <c r="K15" s="54">
        <f t="shared" si="2"/>
        <v>96.404342439097604</v>
      </c>
      <c r="L15" s="53">
        <f t="shared" si="3"/>
        <v>99141.342916178211</v>
      </c>
      <c r="M15" s="55">
        <f t="shared" si="4"/>
        <v>15.434054296128856</v>
      </c>
      <c r="N15" s="53">
        <v>0</v>
      </c>
      <c r="O15" s="40">
        <f t="shared" si="1"/>
        <v>55.513352021479754</v>
      </c>
      <c r="P15" s="53">
        <f t="shared" si="5"/>
        <v>96.405778069902595</v>
      </c>
      <c r="Q15" s="53">
        <f t="shared" si="9"/>
        <v>99147.675650209931</v>
      </c>
      <c r="R15" s="55">
        <f t="shared" si="6"/>
        <v>15.43477347929595</v>
      </c>
      <c r="S15" s="34">
        <f t="shared" si="7"/>
        <v>55.515938786276408</v>
      </c>
    </row>
    <row r="16" spans="1:19">
      <c r="H16" s="77">
        <f t="shared" si="0"/>
        <v>2.5</v>
      </c>
      <c r="J16" s="79">
        <f t="shared" si="8"/>
        <v>2.1879623740225513</v>
      </c>
      <c r="K16" s="54">
        <f t="shared" si="2"/>
        <v>95.912844969543627</v>
      </c>
      <c r="L16" s="53">
        <f t="shared" si="3"/>
        <v>96973.290558198612</v>
      </c>
      <c r="M16" s="55">
        <f t="shared" si="4"/>
        <v>15.185835568548333</v>
      </c>
      <c r="N16" s="53">
        <v>0</v>
      </c>
      <c r="O16" s="40">
        <f t="shared" si="1"/>
        <v>54.620556561640178</v>
      </c>
      <c r="P16" s="53">
        <f t="shared" si="5"/>
        <v>95.914290067781394</v>
      </c>
      <c r="Q16" s="53">
        <f t="shared" si="9"/>
        <v>96979.665054174635</v>
      </c>
      <c r="R16" s="55">
        <f t="shared" si="6"/>
        <v>15.186571326636594</v>
      </c>
      <c r="S16" s="34">
        <f t="shared" si="7"/>
        <v>54.623202943269568</v>
      </c>
    </row>
    <row r="17" spans="1:19">
      <c r="H17" s="77">
        <f t="shared" si="0"/>
        <v>2.6666666666666665</v>
      </c>
      <c r="J17" s="79">
        <f t="shared" si="8"/>
        <v>2.4310693044695011</v>
      </c>
      <c r="K17" s="54">
        <f t="shared" si="2"/>
        <v>95.418442447602985</v>
      </c>
      <c r="L17" s="53">
        <f t="shared" si="3"/>
        <v>94792.423677119456</v>
      </c>
      <c r="M17" s="55">
        <f t="shared" si="4"/>
        <v>14.93198742957107</v>
      </c>
      <c r="N17" s="53">
        <v>0</v>
      </c>
      <c r="O17" s="40">
        <f t="shared" si="1"/>
        <v>53.707513181808551</v>
      </c>
      <c r="P17" s="53">
        <f t="shared" si="5"/>
        <v>95.419893882013739</v>
      </c>
      <c r="Q17" s="53">
        <f t="shared" si="9"/>
        <v>94798.826122689614</v>
      </c>
      <c r="R17" s="55">
        <f t="shared" si="6"/>
        <v>14.932738975899969</v>
      </c>
      <c r="S17" s="34">
        <f t="shared" si="7"/>
        <v>53.71021635073074</v>
      </c>
    </row>
    <row r="18" spans="1:19">
      <c r="H18" s="77">
        <f t="shared" si="0"/>
        <v>2.8333333333333335</v>
      </c>
      <c r="J18" s="79">
        <f t="shared" si="8"/>
        <v>2.6741762349164513</v>
      </c>
      <c r="K18" s="54">
        <f t="shared" si="2"/>
        <v>94.921126051425446</v>
      </c>
      <c r="L18" s="53">
        <f t="shared" si="3"/>
        <v>92598.703358735962</v>
      </c>
      <c r="M18" s="55">
        <f t="shared" si="4"/>
        <v>14.672213045139491</v>
      </c>
      <c r="N18" s="53">
        <v>0</v>
      </c>
      <c r="O18" s="40">
        <f t="shared" si="1"/>
        <v>52.773154226447716</v>
      </c>
      <c r="P18" s="53">
        <f t="shared" si="5"/>
        <v>94.922579957814236</v>
      </c>
      <c r="Q18" s="53">
        <f t="shared" si="9"/>
        <v>92605.116708488014</v>
      </c>
      <c r="R18" s="55">
        <f t="shared" si="6"/>
        <v>14.672979199661091</v>
      </c>
      <c r="S18" s="34">
        <f t="shared" si="7"/>
        <v>52.775909938255147</v>
      </c>
    </row>
    <row r="19" spans="1:19">
      <c r="H19" s="77">
        <f t="shared" si="0"/>
        <v>3</v>
      </c>
      <c r="J19" s="79">
        <f t="shared" si="8"/>
        <v>2.917283165363401</v>
      </c>
      <c r="K19" s="54">
        <f t="shared" si="2"/>
        <v>94.420895623154252</v>
      </c>
      <c r="L19" s="53">
        <f t="shared" si="3"/>
        <v>90392.128906723636</v>
      </c>
      <c r="M19" s="55">
        <f t="shared" si="4"/>
        <v>14.406191745537663</v>
      </c>
      <c r="N19" s="53">
        <v>0</v>
      </c>
      <c r="O19" s="40">
        <f t="shared" si="1"/>
        <v>51.816326307699761</v>
      </c>
      <c r="P19" s="53">
        <f t="shared" si="5"/>
        <v>94.422347249486364</v>
      </c>
      <c r="Q19" s="53">
        <f t="shared" si="9"/>
        <v>90398.532198881177</v>
      </c>
      <c r="R19" s="55">
        <f t="shared" si="6"/>
        <v>14.40697082326917</v>
      </c>
      <c r="S19" s="34">
        <f t="shared" si="7"/>
        <v>51.819128501830441</v>
      </c>
    </row>
    <row r="20" spans="1:19">
      <c r="J20" s="79">
        <f t="shared" si="8"/>
        <v>3.1603900958103512</v>
      </c>
      <c r="K20" s="54">
        <f t="shared" si="2"/>
        <v>93.917761644505333</v>
      </c>
      <c r="L20" s="53">
        <f t="shared" si="3"/>
        <v>88172.74655714746</v>
      </c>
      <c r="M20" s="55">
        <f t="shared" si="4"/>
        <v>14.13357653200284</v>
      </c>
      <c r="N20" s="53">
        <v>0</v>
      </c>
      <c r="O20" s="40">
        <f t="shared" si="1"/>
        <v>50.835781337142976</v>
      </c>
      <c r="P20" s="53">
        <f t="shared" si="5"/>
        <v>93.919205160975579</v>
      </c>
      <c r="Q20" s="53">
        <f t="shared" si="9"/>
        <v>88179.114075763457</v>
      </c>
      <c r="R20" s="55">
        <f t="shared" si="6"/>
        <v>14.134366199792646</v>
      </c>
      <c r="S20" s="34">
        <f t="shared" si="7"/>
        <v>50.838621621695204</v>
      </c>
    </row>
    <row r="21" spans="1:19">
      <c r="J21" s="79">
        <f t="shared" si="8"/>
        <v>3.403497026257301</v>
      </c>
      <c r="K21" s="54">
        <f t="shared" si="2"/>
        <v>93.411747637306263</v>
      </c>
      <c r="L21" s="53">
        <f t="shared" si="3"/>
        <v>85940.660067517689</v>
      </c>
      <c r="M21" s="55">
        <f t="shared" si="4"/>
        <v>13.853991277234956</v>
      </c>
      <c r="N21" s="53">
        <v>0</v>
      </c>
      <c r="O21" s="40">
        <f t="shared" si="1"/>
        <v>49.830166456557933</v>
      </c>
      <c r="P21" s="53">
        <f t="shared" si="5"/>
        <v>93.413175902707593</v>
      </c>
      <c r="Q21" s="53">
        <f t="shared" si="9"/>
        <v>85946.960311899384</v>
      </c>
      <c r="R21" s="55">
        <f t="shared" si="6"/>
        <v>13.854788369142428</v>
      </c>
      <c r="S21" s="34">
        <f t="shared" si="7"/>
        <v>49.833033444246588</v>
      </c>
    </row>
    <row r="22" spans="1:19">
      <c r="J22" s="79">
        <f t="shared" si="8"/>
        <v>3.6466039567042512</v>
      </c>
      <c r="K22" s="54">
        <f t="shared" si="2"/>
        <v>92.90289308736385</v>
      </c>
      <c r="L22" s="53">
        <f t="shared" si="3"/>
        <v>83696.04361430899</v>
      </c>
      <c r="M22" s="55">
        <f t="shared" si="4"/>
        <v>13.567027580937015</v>
      </c>
      <c r="N22" s="53">
        <v>0</v>
      </c>
      <c r="O22" s="40">
        <f t="shared" si="1"/>
        <v>48.798012727905565</v>
      </c>
      <c r="P22" s="53">
        <f t="shared" si="5"/>
        <v>92.904297360742987</v>
      </c>
      <c r="Q22" s="53">
        <f t="shared" si="9"/>
        <v>83702.23802709741</v>
      </c>
      <c r="R22" s="55">
        <f t="shared" si="6"/>
        <v>13.567827859223895</v>
      </c>
      <c r="S22" s="34">
        <f t="shared" si="7"/>
        <v>48.800891176393712</v>
      </c>
    </row>
    <row r="23" spans="1:19">
      <c r="J23" s="79">
        <f t="shared" si="8"/>
        <v>3.8897108871512009</v>
      </c>
      <c r="K23" s="54">
        <f t="shared" si="2"/>
        <v>92.391257014882413</v>
      </c>
      <c r="L23" s="53">
        <f t="shared" si="3"/>
        <v>81439.157542489673</v>
      </c>
      <c r="M23" s="55">
        <f t="shared" si="4"/>
        <v>13.272241238035571</v>
      </c>
      <c r="N23" s="53">
        <v>0</v>
      </c>
      <c r="O23" s="40">
        <f t="shared" si="1"/>
        <v>47.73772243018923</v>
      </c>
      <c r="P23" s="53">
        <f t="shared" si="5"/>
        <v>92.392626598459103</v>
      </c>
      <c r="Q23" s="53">
        <f t="shared" si="9"/>
        <v>81445.198934535074</v>
      </c>
      <c r="R23" s="55">
        <f t="shared" si="6"/>
        <v>13.273039082262111</v>
      </c>
      <c r="S23" s="34">
        <f t="shared" si="7"/>
        <v>47.740592123826197</v>
      </c>
    </row>
    <row r="24" spans="1:19">
      <c r="J24" s="79">
        <f t="shared" si="8"/>
        <v>4.1328178175981511</v>
      </c>
      <c r="K24" s="54">
        <f t="shared" si="2"/>
        <v>91.876922346267193</v>
      </c>
      <c r="L24" s="53">
        <f t="shared" si="3"/>
        <v>79170.367650053769</v>
      </c>
      <c r="M24" s="55">
        <f t="shared" si="4"/>
        <v>12.969148274467067</v>
      </c>
      <c r="N24" s="53">
        <v>0</v>
      </c>
      <c r="O24" s="40">
        <f t="shared" si="1"/>
        <v>46.647554800933698</v>
      </c>
      <c r="P24" s="53">
        <f t="shared" si="5"/>
        <v>91.878244141711207</v>
      </c>
      <c r="Q24" s="53">
        <f t="shared" si="9"/>
        <v>79176.198243101913</v>
      </c>
      <c r="R24" s="55">
        <f t="shared" si="6"/>
        <v>12.969936274959499</v>
      </c>
      <c r="S24" s="34">
        <f t="shared" si="7"/>
        <v>46.650389088535015</v>
      </c>
    </row>
    <row r="25" spans="1:19" ht="15.75" thickBot="1">
      <c r="J25" s="79">
        <f t="shared" si="8"/>
        <v>4.3759247480451009</v>
      </c>
      <c r="K25" s="69">
        <f t="shared" si="2"/>
        <v>91.360001282436514</v>
      </c>
      <c r="L25" s="56">
        <f t="shared" si="3"/>
        <v>76890.16886826868</v>
      </c>
      <c r="M25" s="57">
        <f t="shared" si="4"/>
        <v>12.657220504146995</v>
      </c>
      <c r="N25" s="56">
        <v>0</v>
      </c>
      <c r="O25" s="58">
        <f t="shared" si="1"/>
        <v>45.525610055449903</v>
      </c>
      <c r="P25" s="56">
        <f t="shared" si="5"/>
        <v>91.361259237586253</v>
      </c>
      <c r="Q25" s="56">
        <f t="shared" si="9"/>
        <v>76895.717854372517</v>
      </c>
      <c r="R25" s="57">
        <f t="shared" si="6"/>
        <v>12.657988927430651</v>
      </c>
      <c r="S25" s="38">
        <f t="shared" si="7"/>
        <v>45.528373927562093</v>
      </c>
    </row>
    <row r="26" spans="1:19" ht="15.75" customHeight="1" thickTop="1" thickBot="1">
      <c r="J26" s="39"/>
      <c r="K26" s="39"/>
      <c r="L26" s="42"/>
      <c r="M26" s="42"/>
      <c r="N26" s="42"/>
      <c r="O26" s="42"/>
      <c r="P26" s="42"/>
      <c r="Q26" s="42"/>
      <c r="R26" s="42"/>
      <c r="S26" s="42"/>
    </row>
    <row r="27" spans="1:19" ht="15.75" customHeight="1" thickTop="1" thickBot="1">
      <c r="A27" s="4" t="s">
        <v>6</v>
      </c>
      <c r="B27" s="6">
        <v>600</v>
      </c>
      <c r="F27" s="39"/>
      <c r="J27" s="78" t="s">
        <v>30</v>
      </c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16.5" thickTop="1" thickBot="1"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20.25" thickTop="1" thickBot="1">
      <c r="A29" s="13" t="s">
        <v>19</v>
      </c>
      <c r="B29" s="14" t="s">
        <v>4</v>
      </c>
      <c r="C29" s="14" t="s">
        <v>14</v>
      </c>
      <c r="D29" s="14" t="s">
        <v>15</v>
      </c>
      <c r="E29" s="14" t="s">
        <v>16</v>
      </c>
      <c r="F29" s="14" t="s">
        <v>5</v>
      </c>
      <c r="G29" s="14" t="s">
        <v>17</v>
      </c>
      <c r="H29" s="15" t="s">
        <v>18</v>
      </c>
      <c r="R29" s="41"/>
      <c r="S29" s="42"/>
    </row>
    <row r="30" spans="1:19" ht="15.75" thickTop="1">
      <c r="A30" s="22">
        <v>0</v>
      </c>
      <c r="B30" s="28">
        <f>B8</f>
        <v>100</v>
      </c>
      <c r="C30" s="29">
        <f>(B30-73.929)/0.0002267</f>
        <v>115002.20555800616</v>
      </c>
      <c r="D30" s="30">
        <f t="shared" ref="D30:D48" si="10">$B$5*$B$4*SQRT(2*9.81*(B30-$B$8))</f>
        <v>0</v>
      </c>
      <c r="E30" s="30">
        <v>0</v>
      </c>
      <c r="F30" s="31"/>
      <c r="G30" s="31"/>
      <c r="H30" s="32"/>
      <c r="K30" s="52"/>
      <c r="R30" s="41"/>
      <c r="S30" s="42"/>
    </row>
    <row r="31" spans="1:19">
      <c r="A31" s="33">
        <v>600</v>
      </c>
      <c r="B31" s="17">
        <f t="shared" ref="B31:B48" si="11">B30+$B$27*((E30-D30)/C30+(E31-H31)/G31)/2</f>
        <v>100.08695485405239</v>
      </c>
      <c r="C31" s="18">
        <f t="shared" ref="C31:C48" si="12">(B31-73.929)/0.0002267</f>
        <v>115385.77350706833</v>
      </c>
      <c r="D31" s="19">
        <f t="shared" si="10"/>
        <v>13.696394927720943</v>
      </c>
      <c r="E31" s="19">
        <f>200/6</f>
        <v>33.333333333333336</v>
      </c>
      <c r="F31" s="17">
        <f t="shared" ref="F31:F48" si="13">B30+$B$27*(E30-D30)/C30</f>
        <v>100</v>
      </c>
      <c r="G31" s="18">
        <f>(F31-73.929)/0.0002267</f>
        <v>115002.20555800616</v>
      </c>
      <c r="H31" s="34">
        <f t="shared" ref="H31:H48" si="14">$B$5*$B$4*SQRT(2*9.81*(F31-$B$8))</f>
        <v>0</v>
      </c>
      <c r="R31" s="41"/>
      <c r="S31" s="42"/>
    </row>
    <row r="32" spans="1:19">
      <c r="A32" s="33">
        <v>1200</v>
      </c>
      <c r="B32" s="17">
        <f t="shared" si="11"/>
        <v>100.25836301627741</v>
      </c>
      <c r="C32" s="18">
        <f t="shared" si="12"/>
        <v>116141.8747961068</v>
      </c>
      <c r="D32" s="40">
        <f t="shared" si="10"/>
        <v>23.608833424067559</v>
      </c>
      <c r="E32" s="19">
        <f>2*200/6</f>
        <v>66.666666666666671</v>
      </c>
      <c r="F32" s="17">
        <f t="shared" si="13"/>
        <v>100.18906590886667</v>
      </c>
      <c r="G32" s="18">
        <f t="shared" ref="G32:G48" si="15">(F32-73.929)/0.0002267</f>
        <v>115836.19721599763</v>
      </c>
      <c r="H32" s="34">
        <f t="shared" si="14"/>
        <v>20.196028192567155</v>
      </c>
      <c r="R32" s="41"/>
      <c r="S32" s="42"/>
    </row>
    <row r="33" spans="1:19">
      <c r="A33" s="33">
        <v>1800</v>
      </c>
      <c r="B33" s="17">
        <f t="shared" si="11"/>
        <v>100.54323029446464</v>
      </c>
      <c r="C33" s="18">
        <f t="shared" si="12"/>
        <v>117398.45740831333</v>
      </c>
      <c r="D33" s="19">
        <f t="shared" si="10"/>
        <v>34.233503336175396</v>
      </c>
      <c r="E33" s="19">
        <f>3*200/6</f>
        <v>100</v>
      </c>
      <c r="F33" s="17">
        <f t="shared" si="13"/>
        <v>100.48080388862353</v>
      </c>
      <c r="G33" s="18">
        <f t="shared" si="15"/>
        <v>117123.08728991408</v>
      </c>
      <c r="H33" s="34">
        <f t="shared" si="14"/>
        <v>32.206485883860317</v>
      </c>
      <c r="R33" s="41"/>
      <c r="S33" s="42"/>
    </row>
    <row r="34" spans="1:19">
      <c r="A34" s="33">
        <v>2400</v>
      </c>
      <c r="B34" s="17">
        <f t="shared" si="11"/>
        <v>100.93784771195232</v>
      </c>
      <c r="C34" s="18">
        <f t="shared" si="12"/>
        <v>119139.16061734589</v>
      </c>
      <c r="D34" s="19">
        <f t="shared" si="10"/>
        <v>44.980628200091267</v>
      </c>
      <c r="E34" s="19">
        <f>4*200/6</f>
        <v>133.33333333333334</v>
      </c>
      <c r="F34" s="17">
        <f t="shared" si="13"/>
        <v>100.87934968537837</v>
      </c>
      <c r="G34" s="18">
        <f t="shared" si="15"/>
        <v>118881.11903563462</v>
      </c>
      <c r="H34" s="34">
        <f t="shared" si="14"/>
        <v>43.555214929374543</v>
      </c>
      <c r="R34" s="41"/>
      <c r="S34" s="42"/>
    </row>
    <row r="35" spans="1:19">
      <c r="A35" s="33">
        <v>3000</v>
      </c>
      <c r="B35" s="17">
        <f t="shared" si="11"/>
        <v>101.43789711569191</v>
      </c>
      <c r="C35" s="18">
        <f t="shared" si="12"/>
        <v>121344.93654914825</v>
      </c>
      <c r="D35" s="19">
        <f t="shared" si="10"/>
        <v>55.695904487909729</v>
      </c>
      <c r="E35" s="19">
        <f>5*200/6</f>
        <v>166.66666666666666</v>
      </c>
      <c r="F35" s="17">
        <f t="shared" si="13"/>
        <v>101.38280319766544</v>
      </c>
      <c r="G35" s="18">
        <f t="shared" si="15"/>
        <v>121101.91088515852</v>
      </c>
      <c r="H35" s="34">
        <f t="shared" si="14"/>
        <v>54.618471531656951</v>
      </c>
      <c r="R35" s="41"/>
      <c r="S35" s="42"/>
    </row>
    <row r="36" spans="1:19">
      <c r="A36" s="33">
        <v>3600</v>
      </c>
      <c r="B36" s="17">
        <f t="shared" si="11"/>
        <v>102.03835216576496</v>
      </c>
      <c r="C36" s="18">
        <f t="shared" si="12"/>
        <v>123993.61343522258</v>
      </c>
      <c r="D36" s="19">
        <f t="shared" si="10"/>
        <v>66.31304407143665</v>
      </c>
      <c r="E36" s="19">
        <v>200</v>
      </c>
      <c r="F36" s="17">
        <f t="shared" si="13"/>
        <v>101.98660115889923</v>
      </c>
      <c r="G36" s="18">
        <f t="shared" si="15"/>
        <v>123765.33374018187</v>
      </c>
      <c r="H36" s="34">
        <f t="shared" si="14"/>
        <v>65.46583282600443</v>
      </c>
      <c r="R36" s="41"/>
      <c r="S36" s="42"/>
    </row>
    <row r="37" spans="1:19">
      <c r="A37" s="33">
        <v>4200</v>
      </c>
      <c r="B37" s="17">
        <f t="shared" si="11"/>
        <v>102.61538919323557</v>
      </c>
      <c r="C37" s="18">
        <f t="shared" si="12"/>
        <v>126538.99070681768</v>
      </c>
      <c r="D37" s="19">
        <f t="shared" si="10"/>
        <v>75.115146283487491</v>
      </c>
      <c r="E37" s="19">
        <f>200-100/6</f>
        <v>183.33333333333334</v>
      </c>
      <c r="F37" s="17">
        <f t="shared" si="13"/>
        <v>102.68525785175049</v>
      </c>
      <c r="G37" s="18">
        <f t="shared" si="15"/>
        <v>126847.18946515434</v>
      </c>
      <c r="H37" s="34">
        <f t="shared" si="14"/>
        <v>76.111863020572727</v>
      </c>
      <c r="R37" s="41"/>
      <c r="S37" s="42"/>
    </row>
    <row r="38" spans="1:19">
      <c r="A38" s="33">
        <v>4800</v>
      </c>
      <c r="B38" s="17">
        <f t="shared" si="11"/>
        <v>103.06879652686909</v>
      </c>
      <c r="C38" s="18">
        <f t="shared" si="12"/>
        <v>128539.02305632594</v>
      </c>
      <c r="D38" s="19">
        <f t="shared" si="10"/>
        <v>81.366081598793855</v>
      </c>
      <c r="E38" s="19">
        <f>200-2*100/6</f>
        <v>166.66666666666666</v>
      </c>
      <c r="F38" s="17">
        <f t="shared" si="13"/>
        <v>103.12851887656257</v>
      </c>
      <c r="G38" s="18">
        <f t="shared" si="15"/>
        <v>128802.46526935406</v>
      </c>
      <c r="H38" s="34">
        <f t="shared" si="14"/>
        <v>82.154005881657895</v>
      </c>
      <c r="R38" s="41"/>
      <c r="S38" s="42"/>
    </row>
    <row r="39" spans="1:19">
      <c r="A39" s="33">
        <v>5400</v>
      </c>
      <c r="B39" s="17">
        <f t="shared" si="11"/>
        <v>103.41412521871086</v>
      </c>
      <c r="C39" s="18">
        <f t="shared" si="12"/>
        <v>130062.30797843344</v>
      </c>
      <c r="D39" s="19">
        <f t="shared" si="10"/>
        <v>85.822088241255173</v>
      </c>
      <c r="E39" s="19">
        <f>200-3*100/6</f>
        <v>150</v>
      </c>
      <c r="F39" s="17">
        <f t="shared" si="13"/>
        <v>103.46696627970981</v>
      </c>
      <c r="G39" s="18">
        <f t="shared" si="15"/>
        <v>130295.39602871551</v>
      </c>
      <c r="H39" s="34">
        <f t="shared" si="14"/>
        <v>86.483680509723499</v>
      </c>
      <c r="R39" s="41"/>
      <c r="S39" s="42"/>
    </row>
    <row r="40" spans="1:19">
      <c r="A40" s="33">
        <v>6000</v>
      </c>
      <c r="B40" s="17">
        <f t="shared" si="11"/>
        <v>103.66233535707573</v>
      </c>
      <c r="C40" s="18">
        <f t="shared" si="12"/>
        <v>131157.1916942026</v>
      </c>
      <c r="D40" s="19">
        <f t="shared" si="10"/>
        <v>88.887032970831314</v>
      </c>
      <c r="E40" s="19">
        <f>200-4*100/6</f>
        <v>133.33333333333331</v>
      </c>
      <c r="F40" s="17">
        <f t="shared" si="13"/>
        <v>103.71018906421507</v>
      </c>
      <c r="G40" s="18">
        <f t="shared" si="15"/>
        <v>131368.27994801529</v>
      </c>
      <c r="H40" s="34">
        <f t="shared" si="14"/>
        <v>89.465867088962256</v>
      </c>
      <c r="R40" s="42"/>
      <c r="S40" s="42"/>
    </row>
    <row r="41" spans="1:19">
      <c r="A41" s="33">
        <v>6600</v>
      </c>
      <c r="B41" s="17">
        <f t="shared" si="11"/>
        <v>103.82157867170605</v>
      </c>
      <c r="C41" s="18">
        <f t="shared" si="12"/>
        <v>131859.63242922825</v>
      </c>
      <c r="D41" s="19">
        <f t="shared" si="10"/>
        <v>90.798935526786323</v>
      </c>
      <c r="E41" s="19">
        <f>200-5*100/6</f>
        <v>116.66666666666667</v>
      </c>
      <c r="F41" s="17">
        <f t="shared" si="13"/>
        <v>103.86566221908782</v>
      </c>
      <c r="G41" s="18">
        <f t="shared" si="15"/>
        <v>132054.09007096523</v>
      </c>
      <c r="H41" s="34">
        <f t="shared" si="14"/>
        <v>91.32113620535074</v>
      </c>
      <c r="R41" s="42"/>
      <c r="S41" s="42"/>
    </row>
    <row r="42" spans="1:19">
      <c r="A42" s="33">
        <v>7200</v>
      </c>
      <c r="B42" s="17">
        <f t="shared" si="11"/>
        <v>103.89813835168661</v>
      </c>
      <c r="C42" s="18">
        <f t="shared" si="12"/>
        <v>132197.34605949098</v>
      </c>
      <c r="D42" s="20">
        <f t="shared" si="10"/>
        <v>91.70393664452358</v>
      </c>
      <c r="E42" s="19">
        <v>100</v>
      </c>
      <c r="F42" s="17">
        <f t="shared" si="13"/>
        <v>103.939284435009</v>
      </c>
      <c r="G42" s="18">
        <f t="shared" si="15"/>
        <v>132378.84620647991</v>
      </c>
      <c r="H42" s="34">
        <f t="shared" si="14"/>
        <v>92.186648223950783</v>
      </c>
      <c r="R42" s="42"/>
      <c r="S42" s="42"/>
    </row>
    <row r="43" spans="1:19">
      <c r="A43" s="33">
        <v>7800</v>
      </c>
      <c r="B43" s="17">
        <f t="shared" si="11"/>
        <v>103.89699162719698</v>
      </c>
      <c r="C43" s="18">
        <f t="shared" si="12"/>
        <v>132192.28772473303</v>
      </c>
      <c r="D43" s="19">
        <f t="shared" si="10"/>
        <v>91.690447271478845</v>
      </c>
      <c r="E43" s="19">
        <f>100-100/6</f>
        <v>83.333333333333329</v>
      </c>
      <c r="F43" s="17">
        <f t="shared" si="13"/>
        <v>103.9357914374834</v>
      </c>
      <c r="G43" s="18">
        <f t="shared" si="15"/>
        <v>132363.43818916366</v>
      </c>
      <c r="H43" s="34">
        <f t="shared" si="14"/>
        <v>92.145767811165456</v>
      </c>
      <c r="R43" s="43"/>
      <c r="S43" s="43"/>
    </row>
    <row r="44" spans="1:19">
      <c r="A44" s="33">
        <v>8400</v>
      </c>
      <c r="B44" s="17">
        <f t="shared" si="11"/>
        <v>103.82218080461249</v>
      </c>
      <c r="C44" s="18">
        <f t="shared" si="12"/>
        <v>131862.2885073334</v>
      </c>
      <c r="D44" s="19">
        <f t="shared" si="10"/>
        <v>90.806088444235883</v>
      </c>
      <c r="E44" s="19">
        <f>100-2*100/6</f>
        <v>66.666666666666657</v>
      </c>
      <c r="F44" s="17">
        <f t="shared" si="13"/>
        <v>103.85906000161434</v>
      </c>
      <c r="G44" s="18">
        <f t="shared" si="15"/>
        <v>132024.96692375094</v>
      </c>
      <c r="H44" s="34">
        <f t="shared" si="14"/>
        <v>91.243118569338066</v>
      </c>
    </row>
    <row r="45" spans="1:19">
      <c r="A45" s="33">
        <v>9000</v>
      </c>
      <c r="B45" s="17">
        <f t="shared" si="11"/>
        <v>103.67708197092919</v>
      </c>
      <c r="C45" s="18">
        <f t="shared" si="12"/>
        <v>131222.24071869956</v>
      </c>
      <c r="D45" s="19">
        <f t="shared" si="10"/>
        <v>89.065807685260353</v>
      </c>
      <c r="E45" s="19">
        <f>100-3*100/6</f>
        <v>50</v>
      </c>
      <c r="F45" s="17">
        <f t="shared" si="13"/>
        <v>103.71234156831153</v>
      </c>
      <c r="G45" s="18">
        <f t="shared" si="15"/>
        <v>131377.77489330183</v>
      </c>
      <c r="H45" s="34">
        <f t="shared" si="14"/>
        <v>89.491815594413993</v>
      </c>
    </row>
    <row r="46" spans="1:19">
      <c r="A46" s="33">
        <v>9600</v>
      </c>
      <c r="B46" s="17">
        <f t="shared" si="11"/>
        <v>103.46462221538947</v>
      </c>
      <c r="C46" s="18">
        <f t="shared" si="12"/>
        <v>130285.05608905807</v>
      </c>
      <c r="D46" s="19">
        <f t="shared" si="10"/>
        <v>86.454439154166465</v>
      </c>
      <c r="E46" s="19">
        <f>100-4*100/6</f>
        <v>33.333333333333329</v>
      </c>
      <c r="F46" s="17">
        <f t="shared" si="13"/>
        <v>103.49845764259294</v>
      </c>
      <c r="G46" s="18">
        <f t="shared" si="15"/>
        <v>130434.30808378004</v>
      </c>
      <c r="H46" s="34">
        <f t="shared" si="14"/>
        <v>86.875569575797414</v>
      </c>
    </row>
    <row r="47" spans="1:19">
      <c r="A47" s="33">
        <v>10200</v>
      </c>
      <c r="B47" s="17">
        <f t="shared" si="11"/>
        <v>103.18748153873318</v>
      </c>
      <c r="C47" s="18">
        <f t="shared" si="12"/>
        <v>129062.55641258569</v>
      </c>
      <c r="D47" s="19">
        <f t="shared" si="10"/>
        <v>82.924563461951365</v>
      </c>
      <c r="E47" s="19">
        <f>100-5*100/6</f>
        <v>16.666666666666671</v>
      </c>
      <c r="F47" s="17">
        <f t="shared" si="13"/>
        <v>103.21998430794817</v>
      </c>
      <c r="G47" s="18">
        <f t="shared" si="15"/>
        <v>129205.92989831568</v>
      </c>
      <c r="H47" s="34">
        <f t="shared" si="14"/>
        <v>83.346282267863771</v>
      </c>
    </row>
    <row r="48" spans="1:19" ht="15.75" thickBot="1">
      <c r="A48" s="25">
        <v>10800</v>
      </c>
      <c r="B48" s="35">
        <f t="shared" si="11"/>
        <v>102.8483146199593</v>
      </c>
      <c r="C48" s="36">
        <f t="shared" si="12"/>
        <v>127566.45178632242</v>
      </c>
      <c r="D48" s="37">
        <f t="shared" si="10"/>
        <v>78.388676943815497</v>
      </c>
      <c r="E48" s="37">
        <v>0</v>
      </c>
      <c r="F48" s="35">
        <f t="shared" si="13"/>
        <v>102.87945464710643</v>
      </c>
      <c r="G48" s="36">
        <f t="shared" si="15"/>
        <v>127703.81405869618</v>
      </c>
      <c r="H48" s="38">
        <f t="shared" si="14"/>
        <v>78.816015610900891</v>
      </c>
    </row>
    <row r="49" spans="1:8" ht="15.75" thickTop="1">
      <c r="D49" s="1"/>
    </row>
    <row r="55" spans="1:8">
      <c r="A55" s="45" t="s">
        <v>21</v>
      </c>
    </row>
    <row r="56" spans="1:8" ht="15.75" thickBot="1"/>
    <row r="57" spans="1:8" ht="20.25" thickTop="1" thickBot="1">
      <c r="A57" s="13" t="s">
        <v>19</v>
      </c>
      <c r="B57" s="14" t="s">
        <v>4</v>
      </c>
      <c r="C57" s="14" t="s">
        <v>14</v>
      </c>
      <c r="D57" s="14" t="s">
        <v>15</v>
      </c>
      <c r="E57" s="14" t="s">
        <v>16</v>
      </c>
      <c r="F57" s="14" t="s">
        <v>5</v>
      </c>
      <c r="G57" s="14" t="s">
        <v>17</v>
      </c>
      <c r="H57" s="15" t="s">
        <v>18</v>
      </c>
    </row>
    <row r="58" spans="1:8" ht="15.75" thickTop="1">
      <c r="A58" s="46">
        <v>0</v>
      </c>
      <c r="B58" s="47">
        <v>91.36474109640379</v>
      </c>
      <c r="C58" s="48">
        <f>(B58-73.929)/0.0002267</f>
        <v>76911.076737555311</v>
      </c>
      <c r="D58" s="49">
        <f>IF(B58&gt;$B$8,$B$5*$B$4*SQRT(2*9.81*(B58-$B$8)),0)</f>
        <v>0</v>
      </c>
      <c r="E58" s="49">
        <v>0</v>
      </c>
      <c r="F58" s="50"/>
      <c r="G58" s="50"/>
      <c r="H58" s="51"/>
    </row>
    <row r="59" spans="1:8">
      <c r="A59" s="33">
        <v>600</v>
      </c>
      <c r="B59" s="17">
        <f t="shared" ref="B59:B76" si="16">B58+$B$27*((E58-D58)/C58+(E59-H59)/G59)/2</f>
        <v>91.494761379881595</v>
      </c>
      <c r="C59" s="18">
        <f t="shared" ref="C59:C76" si="17">(B59-73.929)/0.0002267</f>
        <v>77484.611291934678</v>
      </c>
      <c r="D59" s="19">
        <f t="shared" ref="D59:D76" si="18">IF(B59&gt;100,$B$5*$B$4*SQRT(2*9.81*(B59-$B$8)),0)</f>
        <v>0</v>
      </c>
      <c r="E59" s="19">
        <f>200/6</f>
        <v>33.333333333333336</v>
      </c>
      <c r="F59" s="17">
        <f t="shared" ref="F59:F76" si="19">B58+$B$27*(E58-D58)/C58</f>
        <v>91.36474109640379</v>
      </c>
      <c r="G59" s="18">
        <f>(F59-73.929)/0.0002267</f>
        <v>76911.076737555311</v>
      </c>
      <c r="H59" s="34">
        <f>IF(F59&gt;$B$8,$B$5*$B$4*SQRT(2*9.81*(F59-$B$8)),0)</f>
        <v>0</v>
      </c>
    </row>
    <row r="60" spans="1:8">
      <c r="A60" s="33">
        <v>1200</v>
      </c>
      <c r="B60" s="17">
        <f t="shared" si="16"/>
        <v>91.87819713956867</v>
      </c>
      <c r="C60" s="18">
        <f t="shared" si="17"/>
        <v>79175.990911198358</v>
      </c>
      <c r="D60" s="19">
        <f t="shared" si="18"/>
        <v>0</v>
      </c>
      <c r="E60" s="19">
        <f>2*200/6</f>
        <v>66.666666666666671</v>
      </c>
      <c r="F60" s="17">
        <f t="shared" si="19"/>
        <v>91.752877148503671</v>
      </c>
      <c r="G60" s="18">
        <f t="shared" ref="G60:G76" si="20">(F60-73.929)/0.0002267</f>
        <v>78623.189891943839</v>
      </c>
      <c r="H60" s="34">
        <f t="shared" ref="H60:H76" si="21">IF(F60&gt;$B$8,$B$5*$B$4*SQRT(2*9.81*(F60-$B$8)),0)</f>
        <v>0</v>
      </c>
    </row>
    <row r="61" spans="1:8">
      <c r="A61" s="33">
        <v>1800</v>
      </c>
      <c r="B61" s="17">
        <f t="shared" si="16"/>
        <v>92.499328949488032</v>
      </c>
      <c r="C61" s="18">
        <f t="shared" si="17"/>
        <v>81915.875383714287</v>
      </c>
      <c r="D61" s="19">
        <f t="shared" si="18"/>
        <v>0</v>
      </c>
      <c r="E61" s="19">
        <f>3*200/6</f>
        <v>100</v>
      </c>
      <c r="F61" s="17">
        <f t="shared" si="19"/>
        <v>92.383400794611816</v>
      </c>
      <c r="G61" s="18">
        <f t="shared" si="20"/>
        <v>81404.502843457492</v>
      </c>
      <c r="H61" s="34">
        <f t="shared" si="21"/>
        <v>0</v>
      </c>
    </row>
    <row r="62" spans="1:8">
      <c r="A62" s="33">
        <v>2400</v>
      </c>
      <c r="B62" s="17">
        <f t="shared" si="16"/>
        <v>93.335335031151573</v>
      </c>
      <c r="C62" s="18">
        <f t="shared" si="17"/>
        <v>85603.595196963259</v>
      </c>
      <c r="D62" s="19">
        <f t="shared" si="18"/>
        <v>0</v>
      </c>
      <c r="E62" s="19">
        <f>4*200/6</f>
        <v>133.33333333333334</v>
      </c>
      <c r="F62" s="17">
        <f t="shared" si="19"/>
        <v>93.231787703288134</v>
      </c>
      <c r="G62" s="18">
        <f t="shared" si="20"/>
        <v>85146.835920988669</v>
      </c>
      <c r="H62" s="34">
        <f t="shared" si="21"/>
        <v>0</v>
      </c>
    </row>
    <row r="63" spans="1:8">
      <c r="A63" s="33">
        <v>3000</v>
      </c>
      <c r="B63" s="17">
        <f t="shared" si="16"/>
        <v>94.359857450020669</v>
      </c>
      <c r="C63" s="18">
        <f t="shared" si="17"/>
        <v>90122.882443849434</v>
      </c>
      <c r="D63" s="19">
        <f t="shared" si="18"/>
        <v>0</v>
      </c>
      <c r="E63" s="19">
        <f>5*200/6</f>
        <v>166.66666666666666</v>
      </c>
      <c r="F63" s="17">
        <f t="shared" si="19"/>
        <v>94.269875219749139</v>
      </c>
      <c r="G63" s="18">
        <f t="shared" si="20"/>
        <v>89725.960387071624</v>
      </c>
      <c r="H63" s="34">
        <f t="shared" si="21"/>
        <v>0</v>
      </c>
    </row>
    <row r="64" spans="1:8">
      <c r="A64" s="33">
        <v>3600</v>
      </c>
      <c r="B64" s="17">
        <f t="shared" si="16"/>
        <v>95.546118532791169</v>
      </c>
      <c r="C64" s="18">
        <f t="shared" si="17"/>
        <v>95355.617700887364</v>
      </c>
      <c r="D64" s="19">
        <f t="shared" si="18"/>
        <v>0</v>
      </c>
      <c r="E64" s="19">
        <v>200</v>
      </c>
      <c r="F64" s="17">
        <f t="shared" si="19"/>
        <v>95.469453562443107</v>
      </c>
      <c r="G64" s="18">
        <f t="shared" si="20"/>
        <v>95017.439622598613</v>
      </c>
      <c r="H64" s="34">
        <f t="shared" si="21"/>
        <v>0</v>
      </c>
    </row>
    <row r="65" spans="1:9">
      <c r="A65" s="33">
        <v>4200</v>
      </c>
      <c r="B65" s="17">
        <f t="shared" si="16"/>
        <v>96.720399640522331</v>
      </c>
      <c r="C65" s="18">
        <f t="shared" si="17"/>
        <v>100535.50789820171</v>
      </c>
      <c r="D65" s="19">
        <f t="shared" si="18"/>
        <v>0</v>
      </c>
      <c r="E65" s="19">
        <f>200-100/6</f>
        <v>183.33333333333334</v>
      </c>
      <c r="F65" s="17">
        <f t="shared" si="19"/>
        <v>96.804565626872375</v>
      </c>
      <c r="G65" s="18">
        <f t="shared" si="20"/>
        <v>100906.77382828572</v>
      </c>
      <c r="H65" s="34">
        <f t="shared" si="21"/>
        <v>0</v>
      </c>
    </row>
    <row r="66" spans="1:9">
      <c r="A66" s="33">
        <v>4800</v>
      </c>
      <c r="B66" s="17">
        <f t="shared" si="16"/>
        <v>97.742024924870663</v>
      </c>
      <c r="C66" s="18">
        <f t="shared" si="17"/>
        <v>105042.0155486134</v>
      </c>
      <c r="D66" s="19">
        <f t="shared" si="18"/>
        <v>0</v>
      </c>
      <c r="E66" s="19">
        <f>200-2*100/6</f>
        <v>166.66666666666666</v>
      </c>
      <c r="F66" s="17">
        <f t="shared" si="19"/>
        <v>97.814540430176294</v>
      </c>
      <c r="G66" s="18">
        <f t="shared" si="20"/>
        <v>105361.88985521081</v>
      </c>
      <c r="H66" s="34">
        <f t="shared" si="21"/>
        <v>0</v>
      </c>
    </row>
    <row r="67" spans="1:9">
      <c r="A67" s="33">
        <v>5400</v>
      </c>
      <c r="B67" s="17">
        <f t="shared" si="16"/>
        <v>98.62995667811704</v>
      </c>
      <c r="C67" s="18">
        <f t="shared" si="17"/>
        <v>108958.78552323351</v>
      </c>
      <c r="D67" s="19">
        <f t="shared" si="18"/>
        <v>0</v>
      </c>
      <c r="E67" s="19">
        <f>200-3*100/6</f>
        <v>150</v>
      </c>
      <c r="F67" s="17">
        <f t="shared" si="19"/>
        <v>98.694024936272953</v>
      </c>
      <c r="G67" s="18">
        <f t="shared" si="20"/>
        <v>109241.3980426685</v>
      </c>
      <c r="H67" s="34">
        <f t="shared" si="21"/>
        <v>0</v>
      </c>
    </row>
    <row r="68" spans="1:9">
      <c r="A68" s="33">
        <v>6000</v>
      </c>
      <c r="B68" s="17">
        <f t="shared" si="16"/>
        <v>99.398189188954987</v>
      </c>
      <c r="C68" s="18">
        <f t="shared" si="17"/>
        <v>112347.54825299949</v>
      </c>
      <c r="D68" s="19">
        <f t="shared" si="18"/>
        <v>0</v>
      </c>
      <c r="E68" s="19">
        <f>200-4*100/6</f>
        <v>133.33333333333331</v>
      </c>
      <c r="F68" s="17">
        <f t="shared" si="19"/>
        <v>99.455957074210005</v>
      </c>
      <c r="G68" s="18">
        <f t="shared" si="20"/>
        <v>112602.36909664756</v>
      </c>
      <c r="H68" s="34">
        <f t="shared" si="21"/>
        <v>0</v>
      </c>
    </row>
    <row r="69" spans="1:9">
      <c r="A69" s="33">
        <v>6600</v>
      </c>
      <c r="B69" s="17">
        <f t="shared" si="16"/>
        <v>100.01722283829706</v>
      </c>
      <c r="C69" s="18">
        <f t="shared" si="17"/>
        <v>115078.17749579645</v>
      </c>
      <c r="D69" s="19">
        <f t="shared" si="18"/>
        <v>6.0955334230595586</v>
      </c>
      <c r="E69" s="19">
        <f>200-5*100/6</f>
        <v>116.66666666666667</v>
      </c>
      <c r="F69" s="17">
        <f t="shared" si="19"/>
        <v>100.11026525331062</v>
      </c>
      <c r="G69" s="18">
        <f t="shared" si="20"/>
        <v>115488.59838249057</v>
      </c>
      <c r="H69" s="34">
        <f t="shared" si="21"/>
        <v>15.423349309871984</v>
      </c>
    </row>
    <row r="70" spans="1:9">
      <c r="A70" s="33">
        <v>7200</v>
      </c>
      <c r="B70" s="17">
        <f t="shared" si="16"/>
        <v>100.4692469555994</v>
      </c>
      <c r="C70" s="18">
        <f t="shared" si="17"/>
        <v>117072.1083175977</v>
      </c>
      <c r="D70" s="19">
        <f t="shared" si="18"/>
        <v>31.817062915381626</v>
      </c>
      <c r="E70" s="19">
        <v>100</v>
      </c>
      <c r="F70" s="17">
        <f t="shared" si="19"/>
        <v>100.59372379955522</v>
      </c>
      <c r="G70" s="18">
        <f t="shared" si="20"/>
        <v>117621.19011713815</v>
      </c>
      <c r="H70" s="34">
        <f t="shared" si="21"/>
        <v>35.789166482263084</v>
      </c>
    </row>
    <row r="71" spans="1:9">
      <c r="A71" s="33">
        <v>7800</v>
      </c>
      <c r="B71" s="17">
        <f t="shared" si="16"/>
        <v>100.74844264528947</v>
      </c>
      <c r="C71" s="18">
        <f t="shared" si="17"/>
        <v>118303.67289496899</v>
      </c>
      <c r="D71" s="19">
        <f t="shared" si="18"/>
        <v>40.182653964715605</v>
      </c>
      <c r="E71" s="19">
        <f>100-100/6</f>
        <v>83.333333333333329</v>
      </c>
      <c r="F71" s="17">
        <f t="shared" si="19"/>
        <v>100.81868767925828</v>
      </c>
      <c r="G71" s="18">
        <f t="shared" si="20"/>
        <v>118613.53188909692</v>
      </c>
      <c r="H71" s="34">
        <f t="shared" si="21"/>
        <v>42.02604122392809</v>
      </c>
    </row>
    <row r="72" spans="1:9">
      <c r="A72" s="33">
        <v>8400</v>
      </c>
      <c r="B72" s="17">
        <f t="shared" si="16"/>
        <v>100.91065132949859</v>
      </c>
      <c r="C72" s="18">
        <f t="shared" si="17"/>
        <v>119019.19421922624</v>
      </c>
      <c r="D72" s="19">
        <f t="shared" si="18"/>
        <v>44.323639902111282</v>
      </c>
      <c r="E72" s="19">
        <f>100-2*100/6</f>
        <v>66.666666666666657</v>
      </c>
      <c r="F72" s="17">
        <f t="shared" si="19"/>
        <v>100.96728967672658</v>
      </c>
      <c r="G72" s="18">
        <f t="shared" si="20"/>
        <v>119269.03253959672</v>
      </c>
      <c r="H72" s="34">
        <f t="shared" si="21"/>
        <v>45.681213405632924</v>
      </c>
    </row>
    <row r="73" spans="1:9">
      <c r="A73" s="33">
        <v>9000</v>
      </c>
      <c r="B73" s="17">
        <f t="shared" si="16"/>
        <v>100.97453753270021</v>
      </c>
      <c r="C73" s="18">
        <f t="shared" si="17"/>
        <v>119301.00367313722</v>
      </c>
      <c r="D73" s="20">
        <f t="shared" si="18"/>
        <v>45.852037598300228</v>
      </c>
      <c r="E73" s="19">
        <f>100-3*100/6</f>
        <v>50</v>
      </c>
      <c r="F73" s="17">
        <f t="shared" si="19"/>
        <v>101.02328707826732</v>
      </c>
      <c r="G73" s="18">
        <f t="shared" si="20"/>
        <v>119516.04357418312</v>
      </c>
      <c r="H73" s="34">
        <f t="shared" si="21"/>
        <v>46.984877610977342</v>
      </c>
    </row>
    <row r="74" spans="1:9">
      <c r="A74" s="33">
        <v>9600</v>
      </c>
      <c r="B74" s="17">
        <f t="shared" si="16"/>
        <v>100.95228571279458</v>
      </c>
      <c r="C74" s="18">
        <f t="shared" si="17"/>
        <v>119202.84831404753</v>
      </c>
      <c r="D74" s="19">
        <f t="shared" si="18"/>
        <v>45.325540241423141</v>
      </c>
      <c r="E74" s="19">
        <f>100-4*100/6</f>
        <v>33.333333333333329</v>
      </c>
      <c r="F74" s="17">
        <f t="shared" si="19"/>
        <v>100.9953988613093</v>
      </c>
      <c r="G74" s="18">
        <f t="shared" si="20"/>
        <v>119393.02541380368</v>
      </c>
      <c r="H74" s="34">
        <f t="shared" si="21"/>
        <v>46.340202226306303</v>
      </c>
    </row>
    <row r="75" spans="1:9">
      <c r="A75" s="33">
        <v>10200</v>
      </c>
      <c r="B75" s="17">
        <f t="shared" si="16"/>
        <v>100.85349962674259</v>
      </c>
      <c r="C75" s="18">
        <f t="shared" si="17"/>
        <v>118767.09142806611</v>
      </c>
      <c r="D75" s="19">
        <f t="shared" si="18"/>
        <v>42.91024781363965</v>
      </c>
      <c r="E75" s="19">
        <f>100-5*100/6</f>
        <v>16.666666666666671</v>
      </c>
      <c r="F75" s="17">
        <f t="shared" si="19"/>
        <v>100.89192369756908</v>
      </c>
      <c r="G75" s="18">
        <f t="shared" si="20"/>
        <v>118936.58446214857</v>
      </c>
      <c r="H75" s="34">
        <f t="shared" si="21"/>
        <v>43.865512354404068</v>
      </c>
    </row>
    <row r="76" spans="1:9" ht="15.75" thickBot="1">
      <c r="A76" s="25">
        <v>10800</v>
      </c>
      <c r="B76" s="35">
        <f t="shared" si="16"/>
        <v>100.68710092139777</v>
      </c>
      <c r="C76" s="36">
        <f t="shared" si="17"/>
        <v>118033.08743448509</v>
      </c>
      <c r="D76" s="37">
        <f t="shared" si="18"/>
        <v>38.500788178134499</v>
      </c>
      <c r="E76" s="37">
        <v>0</v>
      </c>
      <c r="F76" s="35">
        <f t="shared" si="19"/>
        <v>100.72091956185382</v>
      </c>
      <c r="G76" s="36">
        <f t="shared" si="20"/>
        <v>118182.26538091669</v>
      </c>
      <c r="H76" s="38">
        <f t="shared" si="21"/>
        <v>39.436899158835345</v>
      </c>
    </row>
    <row r="77" spans="1:9" ht="15.75" thickTop="1"/>
    <row r="78" spans="1:9" ht="15" customHeight="1">
      <c r="A78" s="78" t="s">
        <v>22</v>
      </c>
      <c r="B78" s="78"/>
      <c r="C78" s="78"/>
      <c r="D78" s="78"/>
      <c r="E78" s="78"/>
      <c r="F78" s="78"/>
      <c r="G78" s="78"/>
      <c r="H78" s="78"/>
      <c r="I78" s="78"/>
    </row>
    <row r="79" spans="1:9">
      <c r="A79" s="78"/>
      <c r="B79" s="78"/>
      <c r="C79" s="78"/>
      <c r="D79" s="78"/>
      <c r="E79" s="78"/>
      <c r="F79" s="78"/>
      <c r="G79" s="78"/>
      <c r="H79" s="78"/>
      <c r="I79" s="78"/>
    </row>
    <row r="80" spans="1:9">
      <c r="A80" s="78"/>
      <c r="B80" s="78"/>
      <c r="C80" s="78"/>
      <c r="D80" s="78"/>
      <c r="E80" s="78"/>
      <c r="F80" s="78"/>
      <c r="G80" s="78"/>
      <c r="H80" s="78"/>
      <c r="I80" s="78"/>
    </row>
  </sheetData>
  <mergeCells count="2">
    <mergeCell ref="A78:I80"/>
    <mergeCell ref="J27:S28"/>
  </mergeCells>
  <pageMargins left="1" right="0.25" top="0.25" bottom="0.25" header="0" footer="0.3"/>
  <pageSetup paperSize="9" orientation="portrait" horizontalDpi="300" verticalDpi="300" copies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Proracun</vt:lpstr>
      <vt:lpstr>Sheet2</vt:lpstr>
      <vt:lpstr>Sheet3</vt:lpstr>
      <vt:lpstr>Hidrogram</vt:lpstr>
    </vt:vector>
  </TitlesOfParts>
  <Company>Personal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</dc:creator>
  <cp:lastModifiedBy>Aca</cp:lastModifiedBy>
  <cp:lastPrinted>2009-05-04T21:05:29Z</cp:lastPrinted>
  <dcterms:created xsi:type="dcterms:W3CDTF">2009-05-04T11:51:15Z</dcterms:created>
  <dcterms:modified xsi:type="dcterms:W3CDTF">2009-05-05T19:21:19Z</dcterms:modified>
</cp:coreProperties>
</file>