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7400" windowHeight="8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5" i="1"/>
  <c r="I43" s="1"/>
  <c r="C53"/>
  <c r="D53" s="1"/>
  <c r="C52"/>
  <c r="E52" s="1"/>
  <c r="C51"/>
  <c r="C50"/>
  <c r="C49"/>
  <c r="C48"/>
  <c r="C47"/>
  <c r="C46"/>
  <c r="C45"/>
  <c r="C44"/>
  <c r="C43"/>
  <c r="D43" s="1"/>
  <c r="F53"/>
  <c r="F52"/>
  <c r="F51"/>
  <c r="F50"/>
  <c r="F49"/>
  <c r="F48"/>
  <c r="F47"/>
  <c r="F46"/>
  <c r="F45"/>
  <c r="F44"/>
  <c r="F43"/>
  <c r="E43"/>
  <c r="E44"/>
  <c r="E45"/>
  <c r="E46"/>
  <c r="E47"/>
  <c r="E48"/>
  <c r="E49"/>
  <c r="E50"/>
  <c r="E51"/>
  <c r="E53"/>
  <c r="D44"/>
  <c r="D45"/>
  <c r="D46"/>
  <c r="D47"/>
  <c r="D48"/>
  <c r="D49"/>
  <c r="D50"/>
  <c r="D51"/>
  <c r="B43"/>
  <c r="B44"/>
  <c r="B45"/>
  <c r="B46"/>
  <c r="B47"/>
  <c r="B48"/>
  <c r="B49"/>
  <c r="B50"/>
  <c r="G50" s="1"/>
  <c r="H50" s="1"/>
  <c r="B51"/>
  <c r="B52"/>
  <c r="B53"/>
  <c r="B42"/>
  <c r="B54" s="1"/>
  <c r="C25"/>
  <c r="I42" s="1"/>
  <c r="D7"/>
  <c r="D8"/>
  <c r="D9"/>
  <c r="D10"/>
  <c r="D6"/>
  <c r="C7"/>
  <c r="C8"/>
  <c r="C9"/>
  <c r="C10"/>
  <c r="C6"/>
  <c r="G51" l="1"/>
  <c r="H51" s="1"/>
  <c r="F42"/>
  <c r="C42"/>
  <c r="E42" s="1"/>
  <c r="I53"/>
  <c r="I52"/>
  <c r="I51"/>
  <c r="I50"/>
  <c r="J50" s="1"/>
  <c r="I49"/>
  <c r="I48"/>
  <c r="I47"/>
  <c r="I46"/>
  <c r="I45"/>
  <c r="I44"/>
  <c r="G53"/>
  <c r="H53" s="1"/>
  <c r="J53" s="1"/>
  <c r="D52"/>
  <c r="G52" s="1"/>
  <c r="H52" s="1"/>
  <c r="J52" s="1"/>
  <c r="G49"/>
  <c r="H49" s="1"/>
  <c r="J49" s="1"/>
  <c r="G48"/>
  <c r="H48" s="1"/>
  <c r="J48" s="1"/>
  <c r="G47"/>
  <c r="H47" s="1"/>
  <c r="J47" s="1"/>
  <c r="G46"/>
  <c r="H46" s="1"/>
  <c r="J46" s="1"/>
  <c r="G45"/>
  <c r="H45" s="1"/>
  <c r="J45" s="1"/>
  <c r="G44"/>
  <c r="H44" s="1"/>
  <c r="J44" s="1"/>
  <c r="G43"/>
  <c r="H43" s="1"/>
  <c r="J43" s="1"/>
  <c r="E54"/>
  <c r="D42"/>
  <c r="F54"/>
  <c r="E6"/>
  <c r="F6" s="1"/>
  <c r="E9"/>
  <c r="E7"/>
  <c r="E10"/>
  <c r="E8"/>
  <c r="J51" l="1"/>
  <c r="D54"/>
  <c r="G42"/>
  <c r="F7"/>
  <c r="F8" s="1"/>
  <c r="F9" s="1"/>
  <c r="F10" s="1"/>
  <c r="H42" l="1"/>
  <c r="J42" s="1"/>
  <c r="J54" s="1"/>
  <c r="G54"/>
</calcChain>
</file>

<file path=xl/sharedStrings.xml><?xml version="1.0" encoding="utf-8"?>
<sst xmlns="http://schemas.openxmlformats.org/spreadsheetml/2006/main" count="46" uniqueCount="38">
  <si>
    <t>α</t>
  </si>
  <si>
    <t>γ</t>
  </si>
  <si>
    <t>Zadatak 9</t>
  </si>
  <si>
    <t>Z [mnm]</t>
  </si>
  <si>
    <t>∆Z [m]</t>
  </si>
  <si>
    <t>Tabela 1. Zavisnost zapremine akumulacije od nivoa vode</t>
  </si>
  <si>
    <t>mesec</t>
  </si>
  <si>
    <t>Qd</t>
  </si>
  <si>
    <t>Zkm</t>
  </si>
  <si>
    <t>[mnm]</t>
  </si>
  <si>
    <t>P</t>
  </si>
  <si>
    <t>[mm]</t>
  </si>
  <si>
    <t>E</t>
  </si>
  <si>
    <t>[-]</t>
  </si>
  <si>
    <t>H</t>
  </si>
  <si>
    <t>[m]</t>
  </si>
  <si>
    <t>Tabela 2. Osmotreni podaci o dotoku, nivou jezera, padavinama i isparavanju</t>
  </si>
  <si>
    <t>Tabela 3. Proračun protoka po mesecima i količine proizvedene energije</t>
  </si>
  <si>
    <r>
      <t>A [km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</si>
  <si>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sr</t>
    </r>
    <r>
      <rPr>
        <b/>
        <sz val="11"/>
        <color theme="1"/>
        <rFont val="Calibri"/>
        <family val="2"/>
        <scheme val="minor"/>
      </rPr>
      <t xml:space="preserve"> [km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</si>
  <si>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r>
      <t>∆V [10</t>
    </r>
    <r>
      <rPr>
        <b/>
        <vertAlign val="superscript"/>
        <sz val="11"/>
        <color theme="1"/>
        <rFont val="Calibri"/>
        <family val="2"/>
      </rPr>
      <t>6</t>
    </r>
    <r>
      <rPr>
        <b/>
        <sz val="11"/>
        <color theme="1"/>
        <rFont val="Calibri"/>
        <family val="2"/>
      </rPr>
      <t xml:space="preserve"> m</t>
    </r>
    <r>
      <rPr>
        <b/>
        <vertAlign val="superscript"/>
        <sz val="11"/>
        <color theme="1"/>
        <rFont val="Calibri"/>
        <family val="2"/>
      </rPr>
      <t>3</t>
    </r>
    <r>
      <rPr>
        <b/>
        <sz val="11"/>
        <color theme="1"/>
        <rFont val="Calibri"/>
        <family val="2"/>
      </rPr>
      <t>]</t>
    </r>
  </si>
  <si>
    <r>
      <t>V [10</t>
    </r>
    <r>
      <rPr>
        <b/>
        <vertAlign val="superscript"/>
        <sz val="11"/>
        <color theme="1"/>
        <rFont val="Calibri"/>
        <family val="2"/>
      </rPr>
      <t>6</t>
    </r>
    <r>
      <rPr>
        <b/>
        <sz val="11"/>
        <color theme="1"/>
        <rFont val="Calibri"/>
        <family val="2"/>
      </rPr>
      <t xml:space="preserve"> m</t>
    </r>
    <r>
      <rPr>
        <b/>
        <vertAlign val="superscript"/>
        <sz val="11"/>
        <color theme="1"/>
        <rFont val="Calibri"/>
        <family val="2"/>
      </rPr>
      <t>3</t>
    </r>
    <r>
      <rPr>
        <b/>
        <sz val="11"/>
        <color theme="1"/>
        <rFont val="Calibri"/>
        <family val="2"/>
      </rPr>
      <t>]</t>
    </r>
  </si>
  <si>
    <r>
      <t>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</si>
  <si>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[10</t>
    </r>
    <r>
      <rPr>
        <b/>
        <vertAlign val="superscript"/>
        <sz val="11"/>
        <color theme="1"/>
        <rFont val="Calibri"/>
        <family val="2"/>
        <scheme val="minor"/>
      </rPr>
      <t>6</t>
    </r>
    <r>
      <rPr>
        <b/>
        <sz val="11"/>
        <color theme="1"/>
        <rFont val="Calibri"/>
        <family val="2"/>
        <scheme val="minor"/>
      </rPr>
      <t xml:space="preserve"> 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]</t>
    </r>
  </si>
  <si>
    <r>
      <t>[km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</si>
  <si>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r>
      <t>[10</t>
    </r>
    <r>
      <rPr>
        <b/>
        <vertAlign val="superscript"/>
        <sz val="11"/>
        <color theme="1"/>
        <rFont val="Calibri"/>
        <family val="2"/>
        <scheme val="minor"/>
      </rPr>
      <t>6</t>
    </r>
    <r>
      <rPr>
        <b/>
        <sz val="11"/>
        <color theme="1"/>
        <rFont val="Calibri"/>
        <family val="2"/>
        <scheme val="minor"/>
      </rPr>
      <t xml:space="preserve"> kWh]</t>
    </r>
  </si>
  <si>
    <t>Σ</t>
  </si>
  <si>
    <t>η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</si>
  <si>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d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</si>
  <si>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sr</t>
    </r>
  </si>
  <si>
    <r>
      <t>V</t>
    </r>
    <r>
      <rPr>
        <b/>
        <vertAlign val="subscript"/>
        <sz val="11"/>
        <color theme="1"/>
        <rFont val="Calibri"/>
        <family val="2"/>
        <scheme val="minor"/>
      </rPr>
      <t>p</t>
    </r>
  </si>
  <si>
    <r>
      <t>V</t>
    </r>
    <r>
      <rPr>
        <b/>
        <vertAlign val="subscript"/>
        <sz val="11"/>
        <color theme="1"/>
        <rFont val="Calibri"/>
        <family val="2"/>
        <scheme val="minor"/>
      </rPr>
      <t>e</t>
    </r>
  </si>
  <si>
    <r>
      <t>∆V</t>
    </r>
    <r>
      <rPr>
        <b/>
        <vertAlign val="subscript"/>
        <sz val="11"/>
        <color theme="1"/>
        <rFont val="Calibri"/>
        <family val="2"/>
      </rPr>
      <t>a</t>
    </r>
  </si>
  <si>
    <r>
      <t>V</t>
    </r>
    <r>
      <rPr>
        <b/>
        <vertAlign val="subscript"/>
        <sz val="11"/>
        <color theme="1"/>
        <rFont val="Calibri"/>
        <family val="2"/>
      </rPr>
      <t>he</t>
    </r>
  </si>
  <si>
    <r>
      <t>Q</t>
    </r>
    <r>
      <rPr>
        <b/>
        <vertAlign val="subscript"/>
        <sz val="11"/>
        <color theme="1"/>
        <rFont val="Calibri"/>
        <family val="2"/>
      </rPr>
      <t>he</t>
    </r>
  </si>
  <si>
    <r>
      <t>EN</t>
    </r>
    <r>
      <rPr>
        <b/>
        <vertAlign val="subscript"/>
        <sz val="11"/>
        <color theme="1"/>
        <rFont val="Calibri"/>
        <family val="2"/>
      </rPr>
      <t>he</t>
    </r>
  </si>
  <si>
    <t>`</t>
  </si>
  <si>
    <r>
      <t>Z</t>
    </r>
    <r>
      <rPr>
        <b/>
        <vertAlign val="subscript"/>
        <sz val="11"/>
        <color theme="1"/>
        <rFont val="Calibri"/>
        <family val="2"/>
        <scheme val="minor"/>
      </rPr>
      <t>dv</t>
    </r>
    <r>
      <rPr>
        <b/>
        <sz val="11"/>
        <color theme="1"/>
        <rFont val="Calibri"/>
        <family val="2"/>
        <scheme val="minor"/>
      </rPr>
      <t xml:space="preserve"> [mnm]</t>
    </r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</si>
</sst>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lightTrellis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 readingOrder="1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20" xfId="0" applyBorder="1"/>
    <xf numFmtId="164" fontId="0" fillId="0" borderId="0" xfId="0" applyNumberFormat="1"/>
    <xf numFmtId="0" fontId="0" fillId="0" borderId="0" xfId="0" applyBorder="1" applyAlignment="1">
      <alignment horizontal="center"/>
    </xf>
    <xf numFmtId="0" fontId="0" fillId="0" borderId="21" xfId="0" applyBorder="1"/>
    <xf numFmtId="0" fontId="1" fillId="0" borderId="0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1" fontId="0" fillId="0" borderId="26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3" borderId="14" xfId="0" applyNumberFormat="1" applyFill="1" applyBorder="1" applyAlignment="1">
      <alignment horizontal="center"/>
    </xf>
    <xf numFmtId="164" fontId="0" fillId="3" borderId="24" xfId="0" applyNumberFormat="1" applyFill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2" fontId="0" fillId="0" borderId="3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1400"/>
              <a:t>Kriva zapremine</a:t>
            </a:r>
            <a:r>
              <a:rPr lang="sr-Latn-CS" sz="1400"/>
              <a:t> </a:t>
            </a:r>
            <a:r>
              <a:rPr lang="sr-Latn-CS" sz="1400" baseline="0"/>
              <a:t>akumulacije</a:t>
            </a:r>
            <a:endParaRPr lang="en-US" sz="1400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5747462817147864"/>
          <c:y val="0.17177092446777489"/>
          <c:w val="0.79085170603674571"/>
          <c:h val="0.57968321668124856"/>
        </c:manualLayout>
      </c:layout>
      <c:scatterChart>
        <c:scatterStyle val="lineMarker"/>
        <c:ser>
          <c:idx val="0"/>
          <c:order val="0"/>
          <c:spPr>
            <a:ln w="15875">
              <a:solidFill>
                <a:schemeClr val="tx1"/>
              </a:solidFill>
            </a:ln>
          </c:spPr>
          <c:marker>
            <c:symbol val="circle"/>
            <c:size val="3"/>
            <c:spPr>
              <a:noFill/>
              <a:ln>
                <a:solidFill>
                  <a:sysClr val="windowText" lastClr="000000"/>
                </a:solidFill>
              </a:ln>
            </c:spPr>
          </c:marker>
          <c:trendline>
            <c:trendlineType val="log"/>
          </c:trendline>
          <c:trendline>
            <c:trendlineType val="power"/>
          </c:trendline>
          <c:xVal>
            <c:numRef>
              <c:f>Sheet1!$F$5:$F$10</c:f>
              <c:numCache>
                <c:formatCode>General</c:formatCode>
                <c:ptCount val="6"/>
                <c:pt idx="0">
                  <c:v>0</c:v>
                </c:pt>
                <c:pt idx="1">
                  <c:v>28.499999999999996</c:v>
                </c:pt>
                <c:pt idx="2">
                  <c:v>68</c:v>
                </c:pt>
                <c:pt idx="3">
                  <c:v>120</c:v>
                </c:pt>
                <c:pt idx="4">
                  <c:v>183</c:v>
                </c:pt>
                <c:pt idx="5">
                  <c:v>253</c:v>
                </c:pt>
              </c:numCache>
            </c:numRef>
          </c:xVal>
          <c:yVal>
            <c:numRef>
              <c:f>Sheet1!$A$5:$A$10</c:f>
              <c:numCache>
                <c:formatCode>General</c:formatCode>
                <c:ptCount val="6"/>
                <c:pt idx="0">
                  <c:v>840</c:v>
                </c:pt>
                <c:pt idx="1">
                  <c:v>850</c:v>
                </c:pt>
                <c:pt idx="2">
                  <c:v>860</c:v>
                </c:pt>
                <c:pt idx="3">
                  <c:v>870</c:v>
                </c:pt>
                <c:pt idx="4">
                  <c:v>880</c:v>
                </c:pt>
                <c:pt idx="5">
                  <c:v>890</c:v>
                </c:pt>
              </c:numCache>
            </c:numRef>
          </c:yVal>
        </c:ser>
        <c:axId val="50762112"/>
        <c:axId val="50764800"/>
      </c:scatterChart>
      <c:valAx>
        <c:axId val="50762112"/>
        <c:scaling>
          <c:orientation val="minMax"/>
          <c:max val="25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r-Latn-CS"/>
                  <a:t>V </a:t>
                </a:r>
                <a:r>
                  <a:rPr lang="en-US"/>
                  <a:t>[10</a:t>
                </a:r>
                <a:r>
                  <a:rPr lang="en-US" baseline="30000"/>
                  <a:t>6</a:t>
                </a:r>
                <a:r>
                  <a:rPr lang="en-US" baseline="0"/>
                  <a:t> m</a:t>
                </a:r>
                <a:r>
                  <a:rPr lang="en-US" baseline="30000"/>
                  <a:t>3</a:t>
                </a:r>
                <a:r>
                  <a:rPr lang="en-US" baseline="0"/>
                  <a:t>]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50764800"/>
        <c:crosses val="autoZero"/>
        <c:crossBetween val="midCat"/>
      </c:valAx>
      <c:valAx>
        <c:axId val="507648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Z [mnm]</a:t>
                </a:r>
              </a:p>
            </c:rich>
          </c:tx>
          <c:layout/>
        </c:title>
        <c:numFmt formatCode="General" sourceLinked="1"/>
        <c:tickLblPos val="nextTo"/>
        <c:crossAx val="50762112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1400"/>
              <a:t>Kriva </a:t>
            </a:r>
            <a:r>
              <a:rPr lang="sr-Latn-CS" sz="1400"/>
              <a:t>površine akumulacije</a:t>
            </a:r>
            <a:endParaRPr lang="en-US" sz="1400"/>
          </a:p>
        </c:rich>
      </c:tx>
      <c:layout/>
    </c:title>
    <c:plotArea>
      <c:layout>
        <c:manualLayout>
          <c:layoutTarget val="inner"/>
          <c:xMode val="edge"/>
          <c:yMode val="edge"/>
          <c:x val="0.17465727675129727"/>
          <c:y val="0.19480351414406533"/>
          <c:w val="0.76578294049877482"/>
          <c:h val="0.630724701079032"/>
        </c:manualLayout>
      </c:layout>
      <c:scatterChart>
        <c:scatterStyle val="lineMarker"/>
        <c:ser>
          <c:idx val="0"/>
          <c:order val="0"/>
          <c:spPr>
            <a:ln w="15875">
              <a:solidFill>
                <a:sysClr val="windowText" lastClr="000000"/>
              </a:solidFill>
            </a:ln>
          </c:spPr>
          <c:marker>
            <c:symbol val="circle"/>
            <c:size val="3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Sheet1!$B$5:$B$10</c:f>
              <c:numCache>
                <c:formatCode>General</c:formatCode>
                <c:ptCount val="6"/>
                <c:pt idx="0">
                  <c:v>2.2999999999999998</c:v>
                </c:pt>
                <c:pt idx="1">
                  <c:v>3.4</c:v>
                </c:pt>
                <c:pt idx="2">
                  <c:v>4.5</c:v>
                </c:pt>
                <c:pt idx="3">
                  <c:v>5.9</c:v>
                </c:pt>
                <c:pt idx="4">
                  <c:v>6.7</c:v>
                </c:pt>
                <c:pt idx="5">
                  <c:v>7.3</c:v>
                </c:pt>
              </c:numCache>
            </c:numRef>
          </c:xVal>
          <c:yVal>
            <c:numRef>
              <c:f>Sheet1!$A$5:$A$10</c:f>
              <c:numCache>
                <c:formatCode>General</c:formatCode>
                <c:ptCount val="6"/>
                <c:pt idx="0">
                  <c:v>840</c:v>
                </c:pt>
                <c:pt idx="1">
                  <c:v>850</c:v>
                </c:pt>
                <c:pt idx="2">
                  <c:v>860</c:v>
                </c:pt>
                <c:pt idx="3">
                  <c:v>870</c:v>
                </c:pt>
                <c:pt idx="4">
                  <c:v>880</c:v>
                </c:pt>
                <c:pt idx="5">
                  <c:v>890</c:v>
                </c:pt>
              </c:numCache>
            </c:numRef>
          </c:yVal>
        </c:ser>
        <c:axId val="61669760"/>
        <c:axId val="61672064"/>
      </c:scatterChart>
      <c:valAx>
        <c:axId val="61669760"/>
        <c:scaling>
          <c:orientation val="minMax"/>
          <c:min val="2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</a:t>
                </a:r>
                <a:r>
                  <a:rPr lang="en-US" baseline="0"/>
                  <a:t> [km</a:t>
                </a:r>
                <a:r>
                  <a:rPr lang="en-US" baseline="30000"/>
                  <a:t>2</a:t>
                </a:r>
                <a:r>
                  <a:rPr lang="en-US" baseline="0"/>
                  <a:t>]</a:t>
                </a:r>
                <a:endParaRPr lang="en-US" baseline="30000"/>
              </a:p>
            </c:rich>
          </c:tx>
          <c:layout/>
        </c:title>
        <c:numFmt formatCode="General" sourceLinked="1"/>
        <c:majorTickMark val="none"/>
        <c:tickLblPos val="nextTo"/>
        <c:crossAx val="61672064"/>
        <c:crosses val="autoZero"/>
        <c:crossBetween val="midCat"/>
      </c:valAx>
      <c:valAx>
        <c:axId val="6167206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 [mnm]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61669760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10</xdr:row>
      <xdr:rowOff>47626</xdr:rowOff>
    </xdr:from>
    <xdr:to>
      <xdr:col>9</xdr:col>
      <xdr:colOff>552450</xdr:colOff>
      <xdr:row>20</xdr:row>
      <xdr:rowOff>85726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38099</xdr:colOff>
      <xdr:row>10</xdr:row>
      <xdr:rowOff>47626</xdr:rowOff>
    </xdr:from>
    <xdr:to>
      <xdr:col>5</xdr:col>
      <xdr:colOff>19050</xdr:colOff>
      <xdr:row>20</xdr:row>
      <xdr:rowOff>85726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9"/>
  <sheetViews>
    <sheetView tabSelected="1" zoomScaleNormal="100" workbookViewId="0">
      <selection activeCell="H2" sqref="H2"/>
    </sheetView>
  </sheetViews>
  <sheetFormatPr defaultRowHeight="15"/>
  <cols>
    <col min="1" max="1" width="8.7109375" customWidth="1"/>
    <col min="2" max="2" width="7.7109375" customWidth="1"/>
    <col min="3" max="3" width="8.7109375" customWidth="1"/>
    <col min="4" max="4" width="7.7109375" customWidth="1"/>
    <col min="5" max="5" width="10.85546875" customWidth="1"/>
    <col min="6" max="6" width="9.42578125" customWidth="1"/>
    <col min="8" max="8" width="9.7109375" customWidth="1"/>
  </cols>
  <sheetData>
    <row r="1" spans="1:15" ht="15.75" thickBot="1">
      <c r="A1" s="1" t="s">
        <v>2</v>
      </c>
    </row>
    <row r="2" spans="1:15" ht="13.5" customHeight="1" thickTop="1" thickBot="1">
      <c r="C2" s="51" t="s">
        <v>0</v>
      </c>
      <c r="D2" s="22">
        <v>6</v>
      </c>
      <c r="E2" s="23" t="s">
        <v>1</v>
      </c>
      <c r="F2" s="22">
        <v>3</v>
      </c>
    </row>
    <row r="3" spans="1:15" ht="16.5" thickTop="1" thickBot="1">
      <c r="A3" s="2" t="s">
        <v>5</v>
      </c>
    </row>
    <row r="4" spans="1:15" ht="20.25" thickTop="1" thickBot="1">
      <c r="A4" s="23" t="s">
        <v>3</v>
      </c>
      <c r="B4" s="24" t="s">
        <v>18</v>
      </c>
      <c r="C4" s="24" t="s">
        <v>19</v>
      </c>
      <c r="D4" s="25" t="s">
        <v>4</v>
      </c>
      <c r="E4" s="25" t="s">
        <v>20</v>
      </c>
      <c r="F4" s="26" t="s">
        <v>21</v>
      </c>
    </row>
    <row r="5" spans="1:15" ht="18.75" thickTop="1">
      <c r="A5" s="12">
        <v>840</v>
      </c>
      <c r="B5" s="13">
        <v>2.2999999999999998</v>
      </c>
      <c r="C5" s="28"/>
      <c r="D5" s="28"/>
      <c r="E5" s="28"/>
      <c r="F5" s="15">
        <v>0</v>
      </c>
      <c r="G5" s="32"/>
      <c r="H5" s="49" t="s">
        <v>37</v>
      </c>
      <c r="I5" s="47">
        <f>800+D2</f>
        <v>806</v>
      </c>
    </row>
    <row r="6" spans="1:15" ht="15.75" thickBot="1">
      <c r="A6" s="16">
        <v>850</v>
      </c>
      <c r="B6" s="4">
        <v>3.4</v>
      </c>
      <c r="C6" s="4">
        <f>(B5+B6)/2</f>
        <v>2.8499999999999996</v>
      </c>
      <c r="D6" s="4">
        <f>A6-A5</f>
        <v>10</v>
      </c>
      <c r="E6" s="4">
        <f>D6*C6</f>
        <v>28.499999999999996</v>
      </c>
      <c r="F6" s="17">
        <f>F5+E6</f>
        <v>28.499999999999996</v>
      </c>
      <c r="G6" s="32"/>
      <c r="H6" s="50" t="s">
        <v>27</v>
      </c>
      <c r="I6" s="48">
        <v>0.9</v>
      </c>
    </row>
    <row r="7" spans="1:15" ht="15.75" thickTop="1">
      <c r="A7" s="16">
        <v>860</v>
      </c>
      <c r="B7" s="4">
        <v>4.5</v>
      </c>
      <c r="C7" s="4">
        <f t="shared" ref="C7:C10" si="0">(B6+B7)/2</f>
        <v>3.95</v>
      </c>
      <c r="D7" s="4">
        <f t="shared" ref="D7:D10" si="1">A7-A6</f>
        <v>10</v>
      </c>
      <c r="E7" s="4">
        <f t="shared" ref="E7:E10" si="2">D7*C7</f>
        <v>39.5</v>
      </c>
      <c r="F7" s="17">
        <f t="shared" ref="F7:F10" si="3">F6+E7</f>
        <v>68</v>
      </c>
    </row>
    <row r="8" spans="1:15">
      <c r="A8" s="16">
        <v>870</v>
      </c>
      <c r="B8" s="4">
        <v>5.9</v>
      </c>
      <c r="C8" s="4">
        <f t="shared" si="0"/>
        <v>5.2</v>
      </c>
      <c r="D8" s="4">
        <f t="shared" si="1"/>
        <v>10</v>
      </c>
      <c r="E8" s="4">
        <f t="shared" si="2"/>
        <v>52</v>
      </c>
      <c r="F8" s="17">
        <f t="shared" si="3"/>
        <v>120</v>
      </c>
    </row>
    <row r="9" spans="1:15">
      <c r="A9" s="16">
        <v>880</v>
      </c>
      <c r="B9" s="4">
        <v>6.7</v>
      </c>
      <c r="C9" s="4">
        <f t="shared" si="0"/>
        <v>6.3000000000000007</v>
      </c>
      <c r="D9" s="4">
        <f t="shared" si="1"/>
        <v>10</v>
      </c>
      <c r="E9" s="4">
        <f t="shared" si="2"/>
        <v>63.000000000000007</v>
      </c>
      <c r="F9" s="27">
        <f t="shared" si="3"/>
        <v>183</v>
      </c>
      <c r="G9" s="29"/>
      <c r="L9" s="3"/>
    </row>
    <row r="10" spans="1:15" ht="15.75" thickBot="1">
      <c r="A10" s="18">
        <v>890</v>
      </c>
      <c r="B10" s="20">
        <v>7.3</v>
      </c>
      <c r="C10" s="20">
        <f t="shared" si="0"/>
        <v>7</v>
      </c>
      <c r="D10" s="20">
        <f t="shared" si="1"/>
        <v>10</v>
      </c>
      <c r="E10" s="20">
        <f t="shared" si="2"/>
        <v>70</v>
      </c>
      <c r="F10" s="21">
        <f t="shared" si="3"/>
        <v>253</v>
      </c>
    </row>
    <row r="11" spans="1:15" ht="15.75" thickTop="1"/>
    <row r="15" spans="1:15">
      <c r="O15" s="3"/>
    </row>
    <row r="22" spans="1:5" ht="15.75" thickBot="1">
      <c r="A22" s="2" t="s">
        <v>16</v>
      </c>
    </row>
    <row r="23" spans="1:5" ht="15.75" thickTop="1">
      <c r="A23" s="6" t="s">
        <v>6</v>
      </c>
      <c r="B23" s="7" t="s">
        <v>7</v>
      </c>
      <c r="C23" s="7" t="s">
        <v>8</v>
      </c>
      <c r="D23" s="7" t="s">
        <v>10</v>
      </c>
      <c r="E23" s="8" t="s">
        <v>12</v>
      </c>
    </row>
    <row r="24" spans="1:5" ht="15" customHeight="1" thickBot="1">
      <c r="A24" s="9" t="s">
        <v>13</v>
      </c>
      <c r="B24" s="10" t="s">
        <v>22</v>
      </c>
      <c r="C24" s="10" t="s">
        <v>9</v>
      </c>
      <c r="D24" s="10" t="s">
        <v>11</v>
      </c>
      <c r="E24" s="11" t="s">
        <v>11</v>
      </c>
    </row>
    <row r="25" spans="1:5" ht="13.5" customHeight="1" thickTop="1">
      <c r="A25" s="12"/>
      <c r="B25" s="13"/>
      <c r="C25" s="14">
        <f>855-F2</f>
        <v>852</v>
      </c>
      <c r="D25" s="13"/>
      <c r="E25" s="15"/>
    </row>
    <row r="26" spans="1:5" ht="13.5" customHeight="1">
      <c r="A26" s="16">
        <v>1</v>
      </c>
      <c r="B26" s="5">
        <v>14.8</v>
      </c>
      <c r="C26" s="5">
        <v>855</v>
      </c>
      <c r="D26" s="4">
        <v>44</v>
      </c>
      <c r="E26" s="17">
        <v>0</v>
      </c>
    </row>
    <row r="27" spans="1:5" ht="13.5" customHeight="1">
      <c r="A27" s="16">
        <v>2</v>
      </c>
      <c r="B27" s="5">
        <v>15.7</v>
      </c>
      <c r="C27" s="5">
        <v>856.2</v>
      </c>
      <c r="D27" s="4">
        <v>38</v>
      </c>
      <c r="E27" s="17">
        <v>0</v>
      </c>
    </row>
    <row r="28" spans="1:5" ht="13.5" customHeight="1">
      <c r="A28" s="16">
        <v>3</v>
      </c>
      <c r="B28" s="5">
        <v>22.4</v>
      </c>
      <c r="C28" s="5">
        <v>861.6</v>
      </c>
      <c r="D28" s="4">
        <v>53</v>
      </c>
      <c r="E28" s="17">
        <v>0</v>
      </c>
    </row>
    <row r="29" spans="1:5" ht="13.5" customHeight="1">
      <c r="A29" s="16">
        <v>4</v>
      </c>
      <c r="B29" s="5">
        <v>21.7</v>
      </c>
      <c r="C29" s="5">
        <v>870</v>
      </c>
      <c r="D29" s="4">
        <v>67</v>
      </c>
      <c r="E29" s="17">
        <v>45</v>
      </c>
    </row>
    <row r="30" spans="1:5" ht="13.5" customHeight="1">
      <c r="A30" s="16">
        <v>5</v>
      </c>
      <c r="B30" s="5">
        <v>16.899999999999999</v>
      </c>
      <c r="C30" s="5">
        <v>874.6</v>
      </c>
      <c r="D30" s="4">
        <v>108</v>
      </c>
      <c r="E30" s="17">
        <v>75</v>
      </c>
    </row>
    <row r="31" spans="1:5" ht="13.5" customHeight="1">
      <c r="A31" s="16">
        <v>6</v>
      </c>
      <c r="B31" s="5">
        <v>11.4</v>
      </c>
      <c r="C31" s="5">
        <v>878.6</v>
      </c>
      <c r="D31" s="4">
        <v>84</v>
      </c>
      <c r="E31" s="17">
        <v>95</v>
      </c>
    </row>
    <row r="32" spans="1:5" ht="13.5" customHeight="1">
      <c r="A32" s="16">
        <v>7</v>
      </c>
      <c r="B32" s="5">
        <v>8</v>
      </c>
      <c r="C32" s="5">
        <v>881</v>
      </c>
      <c r="D32" s="4">
        <v>92</v>
      </c>
      <c r="E32" s="17">
        <v>180</v>
      </c>
    </row>
    <row r="33" spans="1:12" ht="13.5" customHeight="1">
      <c r="A33" s="16">
        <v>8</v>
      </c>
      <c r="B33" s="5">
        <v>4.8</v>
      </c>
      <c r="C33" s="5">
        <v>882.3</v>
      </c>
      <c r="D33" s="4">
        <v>78</v>
      </c>
      <c r="E33" s="17">
        <v>200</v>
      </c>
    </row>
    <row r="34" spans="1:12" ht="13.5" customHeight="1">
      <c r="A34" s="16">
        <v>9</v>
      </c>
      <c r="B34" s="5">
        <v>4.5999999999999996</v>
      </c>
      <c r="C34" s="5">
        <v>880.6</v>
      </c>
      <c r="D34" s="4">
        <v>58</v>
      </c>
      <c r="E34" s="17">
        <v>110</v>
      </c>
    </row>
    <row r="35" spans="1:12" ht="13.5" customHeight="1">
      <c r="A35" s="16">
        <v>10</v>
      </c>
      <c r="B35" s="5">
        <v>8.4</v>
      </c>
      <c r="C35" s="5">
        <v>878.8</v>
      </c>
      <c r="D35" s="4">
        <v>80</v>
      </c>
      <c r="E35" s="17">
        <v>55</v>
      </c>
    </row>
    <row r="36" spans="1:12" ht="13.5" customHeight="1">
      <c r="A36" s="16">
        <v>11</v>
      </c>
      <c r="B36" s="5">
        <v>11.6</v>
      </c>
      <c r="C36" s="5">
        <v>871.2</v>
      </c>
      <c r="D36" s="4">
        <v>77</v>
      </c>
      <c r="E36" s="17">
        <v>0</v>
      </c>
    </row>
    <row r="37" spans="1:12" ht="13.5" customHeight="1" thickBot="1">
      <c r="A37" s="18">
        <v>12</v>
      </c>
      <c r="B37" s="19">
        <v>12.5</v>
      </c>
      <c r="C37" s="19">
        <v>859</v>
      </c>
      <c r="D37" s="20">
        <v>68</v>
      </c>
      <c r="E37" s="21">
        <v>0</v>
      </c>
    </row>
    <row r="38" spans="1:12" ht="15.75" thickTop="1"/>
    <row r="39" spans="1:12" ht="15.75" thickBot="1">
      <c r="A39" s="2" t="s">
        <v>17</v>
      </c>
    </row>
    <row r="40" spans="1:12" ht="18.75" thickTop="1">
      <c r="A40" s="6" t="s">
        <v>6</v>
      </c>
      <c r="B40" s="7" t="s">
        <v>28</v>
      </c>
      <c r="C40" s="7" t="s">
        <v>29</v>
      </c>
      <c r="D40" s="7" t="s">
        <v>30</v>
      </c>
      <c r="E40" s="7" t="s">
        <v>31</v>
      </c>
      <c r="F40" s="36" t="s">
        <v>32</v>
      </c>
      <c r="G40" s="36" t="s">
        <v>33</v>
      </c>
      <c r="H40" s="36" t="s">
        <v>34</v>
      </c>
      <c r="I40" s="36" t="s">
        <v>14</v>
      </c>
      <c r="J40" s="37" t="s">
        <v>35</v>
      </c>
    </row>
    <row r="41" spans="1:12" ht="18" thickBot="1">
      <c r="A41" s="9" t="s">
        <v>13</v>
      </c>
      <c r="B41" s="10" t="s">
        <v>23</v>
      </c>
      <c r="C41" s="10" t="s">
        <v>24</v>
      </c>
      <c r="D41" s="10" t="s">
        <v>23</v>
      </c>
      <c r="E41" s="10" t="s">
        <v>23</v>
      </c>
      <c r="F41" s="10" t="s">
        <v>23</v>
      </c>
      <c r="G41" s="10" t="s">
        <v>23</v>
      </c>
      <c r="H41" s="10" t="s">
        <v>22</v>
      </c>
      <c r="I41" s="10" t="s">
        <v>15</v>
      </c>
      <c r="J41" s="11" t="s">
        <v>25</v>
      </c>
      <c r="L41" s="33" t="s">
        <v>36</v>
      </c>
    </row>
    <row r="42" spans="1:12" ht="15.75" thickTop="1">
      <c r="A42" s="12">
        <v>1</v>
      </c>
      <c r="B42" s="38">
        <f>B26*30*86400/10^6</f>
        <v>38.361600000000003</v>
      </c>
      <c r="C42" s="38">
        <f>((C25-819.091)/9.091+(C26-819.091)/9.091)/2</f>
        <v>3.7849521504784946</v>
      </c>
      <c r="D42" s="38">
        <f>D26*C42/1000</f>
        <v>0.16653789462105376</v>
      </c>
      <c r="E42" s="39">
        <f>E26*C42/1000</f>
        <v>0</v>
      </c>
      <c r="F42" s="38">
        <f>(C26-842.782)/0.253-(C25-842.782)/0.253</f>
        <v>11.857707509881422</v>
      </c>
      <c r="G42" s="38">
        <f>B42+D42-E42-F42</f>
        <v>26.670430384739632</v>
      </c>
      <c r="H42" s="52">
        <f>G42*(10^6)/(30*86400)</f>
        <v>10.28951789534708</v>
      </c>
      <c r="I42" s="13">
        <f>(C25-$I$5+C26-$I$5)/2</f>
        <v>47.5</v>
      </c>
      <c r="J42" s="40">
        <f>$I$6*1000*9.81*H42*I42*30*24/10^9</f>
        <v>3.1069384496322625</v>
      </c>
    </row>
    <row r="43" spans="1:12">
      <c r="A43" s="16">
        <v>2</v>
      </c>
      <c r="B43" s="34">
        <f t="shared" ref="B43:B53" si="4">B27*30*86400/10^6</f>
        <v>40.694400000000002</v>
      </c>
      <c r="C43" s="34">
        <f>((C26-819.091)/9.091+(C27-819.091)/9.091)/2</f>
        <v>4.0159498405015972</v>
      </c>
      <c r="D43" s="34">
        <f t="shared" ref="D43:D53" si="5">D27*C43/1000</f>
        <v>0.15260609393906069</v>
      </c>
      <c r="E43" s="35">
        <f t="shared" ref="E43:E53" si="6">E27*C43/1000</f>
        <v>0</v>
      </c>
      <c r="F43" s="34">
        <f>(C27-842.782)/0.253-(C26-842.782)/0.253</f>
        <v>4.7430830039527478</v>
      </c>
      <c r="G43" s="34">
        <f t="shared" ref="G43:G53" si="7">B43+D43-E43-F43</f>
        <v>36.103923089986317</v>
      </c>
      <c r="H43" s="53">
        <f t="shared" ref="H43:H53" si="8">G43*(10^6)/(30*86400)</f>
        <v>13.928982673605832</v>
      </c>
      <c r="I43" s="4">
        <f t="shared" ref="I43:I53" si="9">(C26-$I$5+C27-$I$5)/2</f>
        <v>49.600000000000023</v>
      </c>
      <c r="J43" s="41">
        <f t="shared" ref="J43:J53" si="10">$I$6*1000*9.81*H43*I43*30*24/10^9</f>
        <v>4.391825620358297</v>
      </c>
    </row>
    <row r="44" spans="1:12">
      <c r="A44" s="16">
        <v>3</v>
      </c>
      <c r="B44" s="34">
        <f t="shared" si="4"/>
        <v>58.0608</v>
      </c>
      <c r="C44" s="34">
        <f>((C27-819.091)/9.091+(C28-827.857)/7.143)/2</f>
        <v>4.4029373509988883</v>
      </c>
      <c r="D44" s="34">
        <f t="shared" si="5"/>
        <v>0.23335567960294107</v>
      </c>
      <c r="E44" s="35">
        <f t="shared" si="6"/>
        <v>0</v>
      </c>
      <c r="F44" s="34">
        <f>(C28-846.944)/0.192-(C27-842.72)/0.253</f>
        <v>23.052700922266389</v>
      </c>
      <c r="G44" s="34">
        <f t="shared" si="7"/>
        <v>35.241454757336555</v>
      </c>
      <c r="H44" s="53">
        <f t="shared" si="8"/>
        <v>13.596240261318115</v>
      </c>
      <c r="I44" s="4">
        <f t="shared" si="9"/>
        <v>52.900000000000034</v>
      </c>
      <c r="J44" s="41">
        <f t="shared" si="10"/>
        <v>4.5721294262162653</v>
      </c>
    </row>
    <row r="45" spans="1:12">
      <c r="A45" s="16">
        <v>4</v>
      </c>
      <c r="B45" s="34">
        <f t="shared" si="4"/>
        <v>56.246400000000001</v>
      </c>
      <c r="C45" s="34">
        <f>((C28-827.857)/7.143+(C29-827.857)/7.143)/2</f>
        <v>5.3119137617247709</v>
      </c>
      <c r="D45" s="34">
        <f t="shared" si="5"/>
        <v>0.35589822203555965</v>
      </c>
      <c r="E45" s="34">
        <f t="shared" si="6"/>
        <v>0.2390361192776147</v>
      </c>
      <c r="F45" s="34">
        <f>(C29-846.944)/0.192-(C28-846.944)/0.192</f>
        <v>43.749999999999886</v>
      </c>
      <c r="G45" s="34">
        <f t="shared" si="7"/>
        <v>12.613262102758064</v>
      </c>
      <c r="H45" s="53">
        <f t="shared" si="8"/>
        <v>4.866227663101105</v>
      </c>
      <c r="I45" s="4">
        <f t="shared" si="9"/>
        <v>59.800000000000011</v>
      </c>
      <c r="J45" s="41">
        <f t="shared" si="10"/>
        <v>1.8498547133594465</v>
      </c>
      <c r="L45" s="3"/>
    </row>
    <row r="46" spans="1:12">
      <c r="A46" s="16">
        <v>5</v>
      </c>
      <c r="B46" s="34">
        <f t="shared" si="4"/>
        <v>43.804799999999993</v>
      </c>
      <c r="C46" s="34">
        <f>((C29-796.25)/12.5+(C30-796.25)/12.5)/2</f>
        <v>6.0840000000000014</v>
      </c>
      <c r="D46" s="34">
        <f t="shared" si="5"/>
        <v>0.6570720000000001</v>
      </c>
      <c r="E46" s="34">
        <f t="shared" si="6"/>
        <v>0.45630000000000015</v>
      </c>
      <c r="F46" s="34">
        <f>(C30-850.92)/0.159-(C29-850.92)/0.159</f>
        <v>28.930817610063031</v>
      </c>
      <c r="G46" s="34">
        <f t="shared" si="7"/>
        <v>15.074754389936963</v>
      </c>
      <c r="H46" s="53">
        <f t="shared" si="8"/>
        <v>5.8158774652534584</v>
      </c>
      <c r="I46" s="4">
        <f t="shared" si="9"/>
        <v>66.300000000000011</v>
      </c>
      <c r="J46" s="41">
        <f t="shared" si="10"/>
        <v>2.4511663698695432</v>
      </c>
    </row>
    <row r="47" spans="1:12">
      <c r="A47" s="16">
        <v>6</v>
      </c>
      <c r="B47" s="34">
        <f t="shared" si="4"/>
        <v>29.5488</v>
      </c>
      <c r="C47" s="34">
        <f>((C30-796.25)/12.5+(C31-796.25)/12.5)/2</f>
        <v>6.4280000000000017</v>
      </c>
      <c r="D47" s="34">
        <f t="shared" si="5"/>
        <v>0.5399520000000001</v>
      </c>
      <c r="E47" s="34">
        <f t="shared" si="6"/>
        <v>0.6106600000000002</v>
      </c>
      <c r="F47" s="34">
        <f>(C31-850.92)/0.159-(C30-850.92)/0.159</f>
        <v>25.157232704402531</v>
      </c>
      <c r="G47" s="34">
        <f t="shared" si="7"/>
        <v>4.3208592955974687</v>
      </c>
      <c r="H47" s="53">
        <f t="shared" si="8"/>
        <v>1.6669981850298876</v>
      </c>
      <c r="I47" s="4">
        <f t="shared" si="9"/>
        <v>70.600000000000023</v>
      </c>
      <c r="J47" s="41">
        <f t="shared" si="10"/>
        <v>0.74814166402516735</v>
      </c>
    </row>
    <row r="48" spans="1:12">
      <c r="A48" s="16">
        <v>7</v>
      </c>
      <c r="B48" s="34">
        <f t="shared" si="4"/>
        <v>20.736000000000001</v>
      </c>
      <c r="C48" s="34">
        <f>((C31-796.25)/12.5+(C32-768.331)/16.667)/2</f>
        <v>6.6740023999520011</v>
      </c>
      <c r="D48" s="34">
        <f t="shared" si="5"/>
        <v>0.61400822079558404</v>
      </c>
      <c r="E48" s="34">
        <f t="shared" si="6"/>
        <v>1.2013204319913602</v>
      </c>
      <c r="F48" s="34">
        <f>(C32-853.831)/0.143-(C31-850.92)/0.159</f>
        <v>15.904956678541083</v>
      </c>
      <c r="G48" s="34">
        <f t="shared" si="7"/>
        <v>4.2437311102631412</v>
      </c>
      <c r="H48" s="53">
        <f t="shared" si="8"/>
        <v>1.6372419406879402</v>
      </c>
      <c r="I48" s="4">
        <f t="shared" si="9"/>
        <v>73.800000000000011</v>
      </c>
      <c r="J48" s="41">
        <f t="shared" si="10"/>
        <v>0.76809199043652221</v>
      </c>
    </row>
    <row r="49" spans="1:10">
      <c r="A49" s="16">
        <v>8</v>
      </c>
      <c r="B49" s="34">
        <f t="shared" si="4"/>
        <v>12.441599999999999</v>
      </c>
      <c r="C49" s="34">
        <f>((C32-768.331)/16.667+(C33-768.331)/16.667)/2</f>
        <v>6.7990040199195985</v>
      </c>
      <c r="D49" s="34">
        <f t="shared" si="5"/>
        <v>0.53032231355372872</v>
      </c>
      <c r="E49" s="34">
        <f t="shared" si="6"/>
        <v>1.3598008039839196</v>
      </c>
      <c r="F49" s="34">
        <f>(C33-853.831)/0.143-(C32-853.831)/0.143</f>
        <v>9.0909090909087524</v>
      </c>
      <c r="G49" s="34">
        <f t="shared" si="7"/>
        <v>2.5212124186610563</v>
      </c>
      <c r="H49" s="53">
        <f t="shared" si="8"/>
        <v>0.97268997633528398</v>
      </c>
      <c r="I49" s="4">
        <f t="shared" si="9"/>
        <v>75.649999999999977</v>
      </c>
      <c r="J49" s="41">
        <f t="shared" si="10"/>
        <v>0.46776463700436594</v>
      </c>
    </row>
    <row r="50" spans="1:10">
      <c r="A50" s="16">
        <v>9</v>
      </c>
      <c r="B50" s="34">
        <f t="shared" si="4"/>
        <v>11.9232</v>
      </c>
      <c r="C50" s="34">
        <f>((C33-768.331)/16.667+(C34-768.331)/16.667)/2</f>
        <v>6.7870042599147986</v>
      </c>
      <c r="D50" s="34">
        <f t="shared" si="5"/>
        <v>0.39364624707505835</v>
      </c>
      <c r="E50" s="34">
        <f t="shared" si="6"/>
        <v>0.74657046859062781</v>
      </c>
      <c r="F50" s="34">
        <f>(C34-853.831)/0.143-(C33-853.831)/0.143</f>
        <v>-11.888111888111411</v>
      </c>
      <c r="G50" s="34">
        <f t="shared" si="7"/>
        <v>23.45838766659584</v>
      </c>
      <c r="H50" s="53">
        <f t="shared" si="8"/>
        <v>9.0503038837175307</v>
      </c>
      <c r="I50" s="4">
        <f t="shared" si="9"/>
        <v>75.449999999999989</v>
      </c>
      <c r="J50" s="41">
        <f t="shared" si="10"/>
        <v>4.3407664445130187</v>
      </c>
    </row>
    <row r="51" spans="1:10">
      <c r="A51" s="16">
        <v>10</v>
      </c>
      <c r="B51" s="34">
        <f t="shared" si="4"/>
        <v>21.7728</v>
      </c>
      <c r="C51" s="34">
        <f>((C34-768.331)/16.667+(C35-796.25)/12.5)/2</f>
        <v>6.6700026399471994</v>
      </c>
      <c r="D51" s="34">
        <f t="shared" si="5"/>
        <v>0.53360021119577594</v>
      </c>
      <c r="E51" s="34">
        <f t="shared" si="6"/>
        <v>0.36685014519709597</v>
      </c>
      <c r="F51" s="34">
        <f>(C35-850.92)/0.159-(C34-853.831)/0.143</f>
        <v>-11.849892246118742</v>
      </c>
      <c r="G51" s="34">
        <f t="shared" si="7"/>
        <v>33.789442312117423</v>
      </c>
      <c r="H51" s="53">
        <f t="shared" si="8"/>
        <v>13.03605027473666</v>
      </c>
      <c r="I51" s="4">
        <f t="shared" si="9"/>
        <v>73.699999999999989</v>
      </c>
      <c r="J51" s="41">
        <f t="shared" si="10"/>
        <v>6.1074163558334886</v>
      </c>
    </row>
    <row r="52" spans="1:10">
      <c r="A52" s="16">
        <v>11</v>
      </c>
      <c r="B52" s="34">
        <f t="shared" si="4"/>
        <v>30.0672</v>
      </c>
      <c r="C52" s="34">
        <f>((C35-796.25)/12.5+(C36-796.25)/12.5)/2</f>
        <v>6.3000000000000007</v>
      </c>
      <c r="D52" s="34">
        <f t="shared" si="5"/>
        <v>0.48510000000000009</v>
      </c>
      <c r="E52" s="35">
        <f t="shared" si="6"/>
        <v>0</v>
      </c>
      <c r="F52" s="34">
        <f>(C36-850.92)/0.159-(C35-850.92)/0.159</f>
        <v>-47.798742138364204</v>
      </c>
      <c r="G52" s="34">
        <f t="shared" si="7"/>
        <v>78.351042138364207</v>
      </c>
      <c r="H52" s="53">
        <f t="shared" si="8"/>
        <v>30.228025516344218</v>
      </c>
      <c r="I52" s="4">
        <f t="shared" si="9"/>
        <v>69</v>
      </c>
      <c r="J52" s="41">
        <f t="shared" si="10"/>
        <v>13.258759228259336</v>
      </c>
    </row>
    <row r="53" spans="1:10" ht="15.75" thickBot="1">
      <c r="A53" s="43">
        <v>12</v>
      </c>
      <c r="B53" s="56">
        <f t="shared" si="4"/>
        <v>32.4</v>
      </c>
      <c r="C53" s="42">
        <f>((C36-796.25)/12.5+(C37-819.091)/9.091)/2</f>
        <v>5.1929730502694991</v>
      </c>
      <c r="D53" s="56">
        <f t="shared" si="5"/>
        <v>0.35312216741832592</v>
      </c>
      <c r="E53" s="44">
        <f t="shared" si="6"/>
        <v>0</v>
      </c>
      <c r="F53" s="56">
        <f>(C37-842.782)/0.253-(C36-850.92)/0.159</f>
        <v>-63.444403012902484</v>
      </c>
      <c r="G53" s="56">
        <f t="shared" si="7"/>
        <v>96.19752518032081</v>
      </c>
      <c r="H53" s="54">
        <f t="shared" si="8"/>
        <v>37.113242739321301</v>
      </c>
      <c r="I53" s="20">
        <f t="shared" si="9"/>
        <v>59.100000000000023</v>
      </c>
      <c r="J53" s="45">
        <f t="shared" si="10"/>
        <v>13.943133842829948</v>
      </c>
    </row>
    <row r="54" spans="1:10" ht="16.5" thickTop="1" thickBot="1">
      <c r="A54" s="46" t="s">
        <v>26</v>
      </c>
      <c r="B54" s="57">
        <f>SUM(B42:B53)</f>
        <v>396.05760000000004</v>
      </c>
      <c r="C54" s="31"/>
      <c r="D54" s="58">
        <f>SUM(D42:D53)</f>
        <v>5.0152210502370895</v>
      </c>
      <c r="E54" s="59">
        <f>SUM(E42:E53)</f>
        <v>4.9805379690406184</v>
      </c>
      <c r="F54" s="59">
        <f>SUM(F42:F53)</f>
        <v>27.506258234518995</v>
      </c>
      <c r="G54" s="57">
        <f>SUM(G42:G53)</f>
        <v>368.58602484667745</v>
      </c>
      <c r="H54" s="31"/>
      <c r="I54" s="31"/>
      <c r="J54" s="55">
        <f>SUM(J42:J53)</f>
        <v>56.005988742337664</v>
      </c>
    </row>
    <row r="55" spans="1:10" ht="15.75" thickTop="1"/>
    <row r="58" spans="1:10">
      <c r="B58" s="30"/>
    </row>
    <row r="59" spans="1:10">
      <c r="B59" s="30"/>
    </row>
  </sheetData>
  <pageMargins left="0.98425196850393704" right="0.19685039370078741" top="0.19685039370078741" bottom="0.19685039370078741" header="0" footer="0.19685039370078741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Personal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</dc:creator>
  <cp:lastModifiedBy>DrAgon Of KaZaMath</cp:lastModifiedBy>
  <cp:lastPrinted>2009-05-17T14:39:31Z</cp:lastPrinted>
  <dcterms:created xsi:type="dcterms:W3CDTF">2009-05-16T19:24:42Z</dcterms:created>
  <dcterms:modified xsi:type="dcterms:W3CDTF">2009-09-23T19:48:50Z</dcterms:modified>
</cp:coreProperties>
</file>