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400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I3"/>
  <c r="L3"/>
  <c r="K3"/>
  <c r="F71"/>
  <c r="F70"/>
  <c r="F67"/>
  <c r="F68"/>
  <c r="F66"/>
  <c r="E72"/>
  <c r="B61"/>
  <c r="C61" s="1"/>
  <c r="D61" s="1"/>
  <c r="B60"/>
  <c r="C60" s="1"/>
  <c r="D60" s="1"/>
  <c r="E54"/>
  <c r="E57" s="1"/>
  <c r="B54"/>
  <c r="D8"/>
  <c r="I8" s="1"/>
  <c r="D9"/>
  <c r="I9" s="1"/>
  <c r="D10"/>
  <c r="I10" s="1"/>
  <c r="D11"/>
  <c r="I11" s="1"/>
  <c r="D12"/>
  <c r="I12" s="1"/>
  <c r="D13"/>
  <c r="I13" s="1"/>
  <c r="D14"/>
  <c r="I14" s="1"/>
  <c r="D15"/>
  <c r="I15" s="1"/>
  <c r="D16"/>
  <c r="I16" s="1"/>
  <c r="D17"/>
  <c r="I17" s="1"/>
  <c r="D18"/>
  <c r="I18" s="1"/>
  <c r="D19"/>
  <c r="I19" s="1"/>
  <c r="D20"/>
  <c r="I20" s="1"/>
  <c r="D21"/>
  <c r="D22"/>
  <c r="D7"/>
  <c r="I7" s="1"/>
  <c r="F72" l="1"/>
  <c r="D73" s="1"/>
  <c r="B76" s="1"/>
  <c r="J9"/>
  <c r="L9" s="1"/>
  <c r="K13"/>
  <c r="J7"/>
  <c r="L7" s="1"/>
  <c r="K20"/>
  <c r="K18"/>
  <c r="K16"/>
  <c r="K14"/>
  <c r="K12"/>
  <c r="J18"/>
  <c r="L18" s="1"/>
  <c r="J16"/>
  <c r="L16" s="1"/>
  <c r="J14"/>
  <c r="L14" s="1"/>
  <c r="J12"/>
  <c r="L12" s="1"/>
  <c r="J10"/>
  <c r="L10" s="1"/>
  <c r="J8"/>
  <c r="L8" s="1"/>
  <c r="B57"/>
  <c r="E60" s="1"/>
  <c r="K11"/>
  <c r="K19"/>
  <c r="K17"/>
  <c r="K15"/>
  <c r="J19"/>
  <c r="J17"/>
  <c r="L17" s="1"/>
  <c r="J15"/>
  <c r="J13"/>
  <c r="L13" s="1"/>
  <c r="J11"/>
  <c r="L11" s="1"/>
  <c r="J20"/>
  <c r="E61"/>
  <c r="L15" l="1"/>
  <c r="L19"/>
  <c r="B80"/>
  <c r="C80"/>
  <c r="B81"/>
  <c r="C81"/>
  <c r="L20"/>
  <c r="F8" l="1"/>
  <c r="F10"/>
  <c r="F12"/>
  <c r="F14"/>
  <c r="F16"/>
  <c r="F18"/>
  <c r="F20"/>
  <c r="F22"/>
  <c r="F7"/>
  <c r="F9"/>
  <c r="F11"/>
  <c r="F13"/>
  <c r="F15"/>
  <c r="F17"/>
  <c r="F19"/>
  <c r="F21"/>
  <c r="E9"/>
  <c r="E11"/>
  <c r="E13"/>
  <c r="E15"/>
  <c r="E17"/>
  <c r="E19"/>
  <c r="E21"/>
  <c r="E8"/>
  <c r="E10"/>
  <c r="E12"/>
  <c r="E14"/>
  <c r="E16"/>
  <c r="E18"/>
  <c r="E20"/>
  <c r="E22"/>
  <c r="E7"/>
</calcChain>
</file>

<file path=xl/sharedStrings.xml><?xml version="1.0" encoding="utf-8"?>
<sst xmlns="http://schemas.openxmlformats.org/spreadsheetml/2006/main" count="57" uniqueCount="52">
  <si>
    <t>ZADATAK 4</t>
  </si>
  <si>
    <t>t [h]</t>
  </si>
  <si>
    <t>Pe [mm]</t>
  </si>
  <si>
    <t>α</t>
  </si>
  <si>
    <t>S [mm]</t>
  </si>
  <si>
    <t>u</t>
  </si>
  <si>
    <t>T [god]</t>
  </si>
  <si>
    <t>P [-]</t>
  </si>
  <si>
    <t>F [-]</t>
  </si>
  <si>
    <t>X [mm]</t>
  </si>
  <si>
    <t>Hidrološki broj CN</t>
  </si>
  <si>
    <t>Procenat površina</t>
  </si>
  <si>
    <t>Pašnjak ili livada (prirodna)</t>
  </si>
  <si>
    <t>Šuma</t>
  </si>
  <si>
    <t>Putevi i ulice</t>
  </si>
  <si>
    <t>zemljani</t>
  </si>
  <si>
    <t>Sitnozrne žitarice</t>
  </si>
  <si>
    <t>Sastav tla (hidrološka grupa A)</t>
  </si>
  <si>
    <t>Obrada tla</t>
  </si>
  <si>
    <t>Hidrološke prilike za upijanje</t>
  </si>
  <si>
    <t>dobro</t>
  </si>
  <si>
    <t>srednje</t>
  </si>
  <si>
    <t>asfaltirani sa ivičnjacima i slivnicima</t>
  </si>
  <si>
    <t>pravolinijska obrada (u smeru pada terena)</t>
  </si>
  <si>
    <t>UKUPNO</t>
  </si>
  <si>
    <t>[1]</t>
  </si>
  <si>
    <t>[2]</t>
  </si>
  <si>
    <t>[3]</t>
  </si>
  <si>
    <t>[4]=[2]*[3]</t>
  </si>
  <si>
    <t>Prosečan hidrološki broj CN</t>
  </si>
  <si>
    <t>d [mm]</t>
  </si>
  <si>
    <t>Tabela 2: Proračun 50-godišnje i 100-godišnje kiše - Gumbelova raspodela</t>
  </si>
  <si>
    <t>Tabela 3: Proračun efektivne kiše povratnog perioda 50 i 100 godina - SCS metoda</t>
  </si>
  <si>
    <t>Tabela 1: Prikaz proračuna jediničnog hidrograma</t>
  </si>
  <si>
    <t>P [mm]</t>
  </si>
  <si>
    <t>η</t>
  </si>
  <si>
    <t>Tabela 4: Proračun hidrograma otekle vode od kišne epizode trajanja 2 dana</t>
  </si>
  <si>
    <t>Y [-]</t>
  </si>
  <si>
    <r>
      <t>P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[mm]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</si>
  <si>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uk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</si>
  <si>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</si>
  <si>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u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/s/mm]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</si>
  <si>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d,50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</si>
  <si>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d,100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</si>
  <si>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sr</t>
    </r>
    <r>
      <rPr>
        <b/>
        <sz val="11"/>
        <color theme="1"/>
        <rFont val="Calibri"/>
        <family val="2"/>
        <scheme val="minor"/>
      </rPr>
      <t xml:space="preserve"> [mm]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</si>
  <si>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[mm]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</si>
  <si>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[mm]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</si>
  <si>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e1</t>
    </r>
    <r>
      <rPr>
        <b/>
        <sz val="11"/>
        <color theme="1"/>
        <rFont val="Calibri"/>
        <family val="2"/>
        <scheme val="minor"/>
      </rPr>
      <t xml:space="preserve"> [mm]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</si>
  <si>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e2</t>
    </r>
    <r>
      <rPr>
        <b/>
        <sz val="11"/>
        <color theme="1"/>
        <rFont val="Calibri"/>
        <family val="2"/>
        <scheme val="minor"/>
      </rPr>
      <t xml:space="preserve"> [mm]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</si>
  <si>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</si>
  <si>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</si>
  <si>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1+2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</si>
</sst>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9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/>
    <xf numFmtId="0" fontId="2" fillId="0" borderId="6" xfId="0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r-Latn-CS"/>
              <a:t>Jedinični hidrogram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5143890423399395"/>
          <c:y val="0.14610263560804887"/>
          <c:w val="0.75977244933410393"/>
          <c:h val="0.66698439673458176"/>
        </c:manualLayout>
      </c:layout>
      <c:scatterChart>
        <c:scatterStyle val="smoothMarker"/>
        <c:ser>
          <c:idx val="1"/>
          <c:order val="1"/>
          <c:tx>
            <c:v>Qd,50</c:v>
          </c:tx>
          <c:spPr>
            <a:ln w="22225"/>
          </c:spPr>
          <c:marker>
            <c:symbol val="square"/>
            <c:size val="3"/>
          </c:marker>
          <c:xVal>
            <c:numRef>
              <c:f>Sheet1!$A$7:$A$22</c:f>
              <c:numCache>
                <c:formatCode>General</c:formatCode>
                <c:ptCount val="16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  <c:pt idx="14">
                  <c:v>168</c:v>
                </c:pt>
                <c:pt idx="15">
                  <c:v>180</c:v>
                </c:pt>
              </c:numCache>
            </c:numRef>
          </c:xVal>
          <c:yVal>
            <c:numRef>
              <c:f>Sheet1!$E$7:$E$22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1.5314227808902696</c:v>
                </c:pt>
                <c:pt idx="3">
                  <c:v>6.8914025140062138</c:v>
                </c:pt>
                <c:pt idx="4">
                  <c:v>21.439918932463776</c:v>
                </c:pt>
                <c:pt idx="5">
                  <c:v>57.428354283385119</c:v>
                </c:pt>
                <c:pt idx="6">
                  <c:v>81.165407387184302</c:v>
                </c:pt>
                <c:pt idx="7">
                  <c:v>60.49119984516566</c:v>
                </c:pt>
                <c:pt idx="8">
                  <c:v>25.268475884689451</c:v>
                </c:pt>
                <c:pt idx="9">
                  <c:v>16.845650589792967</c:v>
                </c:pt>
                <c:pt idx="10">
                  <c:v>5.359979733115944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Qd,100</c:v>
          </c:tx>
          <c:spPr>
            <a:ln w="22225"/>
          </c:spPr>
          <c:marker>
            <c:symbol val="triangle"/>
            <c:size val="3"/>
          </c:marker>
          <c:xVal>
            <c:numRef>
              <c:f>Sheet1!$A$7:$A$22</c:f>
              <c:numCache>
                <c:formatCode>General</c:formatCode>
                <c:ptCount val="16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  <c:pt idx="14">
                  <c:v>168</c:v>
                </c:pt>
                <c:pt idx="15">
                  <c:v>180</c:v>
                </c:pt>
              </c:numCache>
            </c:numRef>
          </c:xVal>
          <c:yVal>
            <c:numRef>
              <c:f>Sheet1!$F$7:$F$22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2.2195002383863747</c:v>
                </c:pt>
                <c:pt idx="3">
                  <c:v>9.9877510727386856</c:v>
                </c:pt>
                <c:pt idx="4">
                  <c:v>31.073003337409244</c:v>
                </c:pt>
                <c:pt idx="5">
                  <c:v>83.231258939489052</c:v>
                </c:pt>
                <c:pt idx="6">
                  <c:v>117.63351263447785</c:v>
                </c:pt>
                <c:pt idx="7">
                  <c:v>87.6702594162618</c:v>
                </c:pt>
                <c:pt idx="8">
                  <c:v>36.621753933375182</c:v>
                </c:pt>
                <c:pt idx="9">
                  <c:v>24.414502622250122</c:v>
                </c:pt>
                <c:pt idx="10">
                  <c:v>7.7682508343523109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1"/>
        </c:ser>
        <c:axId val="61684352"/>
        <c:axId val="61699968"/>
      </c:scatterChart>
      <c:scatterChart>
        <c:scatterStyle val="smoothMarker"/>
        <c:ser>
          <c:idx val="0"/>
          <c:order val="0"/>
          <c:tx>
            <c:v>u</c:v>
          </c:tx>
          <c:spPr>
            <a:ln w="22225"/>
          </c:spPr>
          <c:marker>
            <c:symbol val="circle"/>
            <c:size val="3"/>
          </c:marker>
          <c:xVal>
            <c:numRef>
              <c:f>Sheet1!$A$7:$A$22</c:f>
              <c:numCache>
                <c:formatCode>General</c:formatCode>
                <c:ptCount val="16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  <c:pt idx="14">
                  <c:v>168</c:v>
                </c:pt>
                <c:pt idx="15">
                  <c:v>180</c:v>
                </c:pt>
              </c:numCache>
            </c:numRef>
          </c:xVal>
          <c:yVal>
            <c:numRef>
              <c:f>Sheet1!$D$7:$D$22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0.12987012987012986</c:v>
                </c:pt>
                <c:pt idx="3">
                  <c:v>0.58441558441558439</c:v>
                </c:pt>
                <c:pt idx="4">
                  <c:v>1.8181818181818181</c:v>
                </c:pt>
                <c:pt idx="5">
                  <c:v>4.8701298701298699</c:v>
                </c:pt>
                <c:pt idx="6">
                  <c:v>6.883116883116883</c:v>
                </c:pt>
                <c:pt idx="7">
                  <c:v>5.1298701298701301</c:v>
                </c:pt>
                <c:pt idx="8">
                  <c:v>2.1428571428571428</c:v>
                </c:pt>
                <c:pt idx="9">
                  <c:v>1.4285714285714286</c:v>
                </c:pt>
                <c:pt idx="10">
                  <c:v>0.45454545454545453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1"/>
        </c:ser>
        <c:axId val="84744064"/>
        <c:axId val="84742144"/>
      </c:scatterChart>
      <c:valAx>
        <c:axId val="61684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</a:t>
                </a:r>
                <a:r>
                  <a:rPr lang="en-US" baseline="0"/>
                  <a:t> [h]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61699968"/>
        <c:crossesAt val="0"/>
        <c:crossBetween val="midCat"/>
      </c:valAx>
      <c:valAx>
        <c:axId val="61699968"/>
        <c:scaling>
          <c:orientation val="minMax"/>
          <c:max val="125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</a:t>
                </a:r>
                <a:r>
                  <a:rPr lang="en-US" baseline="-25000"/>
                  <a:t>d</a:t>
                </a:r>
                <a:r>
                  <a:rPr lang="en-US"/>
                  <a:t>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61684352"/>
        <c:crosses val="autoZero"/>
        <c:crossBetween val="midCat"/>
      </c:valAx>
      <c:valAx>
        <c:axId val="84742144"/>
        <c:scaling>
          <c:orientation val="minMax"/>
          <c:max val="7"/>
          <c:min val="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 [m</a:t>
                </a:r>
                <a:r>
                  <a:rPr lang="en-US" baseline="30000"/>
                  <a:t>3</a:t>
                </a:r>
                <a:r>
                  <a:rPr lang="en-US"/>
                  <a:t>/s/mm]</a:t>
                </a:r>
              </a:p>
            </c:rich>
          </c:tx>
          <c:layout/>
        </c:title>
        <c:numFmt formatCode="General" sourceLinked="0"/>
        <c:tickLblPos val="nextTo"/>
        <c:crossAx val="84744064"/>
        <c:crosses val="max"/>
        <c:crossBetween val="midCat"/>
      </c:valAx>
      <c:valAx>
        <c:axId val="84744064"/>
        <c:scaling>
          <c:orientation val="minMax"/>
        </c:scaling>
        <c:delete val="1"/>
        <c:axPos val="b"/>
        <c:numFmt formatCode="General" sourceLinked="1"/>
        <c:tickLblPos val="nextTo"/>
        <c:crossAx val="84742144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61674918769665366"/>
          <c:y val="0.32119645410172926"/>
          <c:w val="0.14061245919470641"/>
          <c:h val="0.17948296451600812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Hidrogram otekle vode od </a:t>
            </a:r>
            <a:r>
              <a:rPr lang="sr-Latn-CS"/>
              <a:t>kišne epizode trajanja 2 dana</a:t>
            </a:r>
            <a:endParaRPr lang="en-US"/>
          </a:p>
        </c:rich>
      </c:tx>
      <c:layout>
        <c:manualLayout>
          <c:xMode val="edge"/>
          <c:yMode val="edge"/>
          <c:x val="0.16172922134733164"/>
          <c:y val="6.7001675041876091E-3"/>
        </c:manualLayout>
      </c:layout>
    </c:title>
    <c:plotArea>
      <c:layout>
        <c:manualLayout>
          <c:layoutTarget val="inner"/>
          <c:xMode val="edge"/>
          <c:yMode val="edge"/>
          <c:x val="0.19265529308836393"/>
          <c:y val="0.18540392249963736"/>
          <c:w val="0.63570363079615066"/>
          <c:h val="0.61914736386107072"/>
        </c:manualLayout>
      </c:layout>
      <c:scatterChart>
        <c:scatterStyle val="smoothMarker"/>
        <c:ser>
          <c:idx val="0"/>
          <c:order val="0"/>
          <c:tx>
            <c:v>Q1</c:v>
          </c:tx>
          <c:spPr>
            <a:ln w="22225"/>
          </c:spPr>
          <c:marker>
            <c:symbol val="diamond"/>
            <c:size val="3"/>
          </c:marker>
          <c:xVal>
            <c:numRef>
              <c:f>Sheet1!$H$7:$H$20</c:f>
              <c:numCache>
                <c:formatCode>General</c:formatCode>
                <c:ptCount val="1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</c:numCache>
            </c:numRef>
          </c:xVal>
          <c:yVal>
            <c:numRef>
              <c:f>Sheet1!$J$7:$J$20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3.2571428571428571</c:v>
                </c:pt>
                <c:pt idx="3">
                  <c:v>14.657142857142858</c:v>
                </c:pt>
                <c:pt idx="4">
                  <c:v>45.6</c:v>
                </c:pt>
                <c:pt idx="5">
                  <c:v>122.14285714285714</c:v>
                </c:pt>
                <c:pt idx="6">
                  <c:v>172.62857142857143</c:v>
                </c:pt>
                <c:pt idx="7">
                  <c:v>128.65714285714287</c:v>
                </c:pt>
                <c:pt idx="8">
                  <c:v>53.742857142857147</c:v>
                </c:pt>
                <c:pt idx="9">
                  <c:v>35.828571428571429</c:v>
                </c:pt>
                <c:pt idx="10">
                  <c:v>11.4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Q2</c:v>
          </c:tx>
          <c:spPr>
            <a:ln w="22225"/>
          </c:spPr>
          <c:marker>
            <c:symbol val="square"/>
            <c:size val="3"/>
          </c:marker>
          <c:xVal>
            <c:numRef>
              <c:f>Sheet1!$H$7:$H$20</c:f>
              <c:numCache>
                <c:formatCode>General</c:formatCode>
                <c:ptCount val="1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</c:numCache>
            </c:numRef>
          </c:xVal>
          <c:yVal>
            <c:numRef>
              <c:f>Sheet1!$K$7:$K$20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2.4</c:v>
                </c:pt>
                <c:pt idx="5">
                  <c:v>10.799999999999999</c:v>
                </c:pt>
                <c:pt idx="6">
                  <c:v>33.6</c:v>
                </c:pt>
                <c:pt idx="7">
                  <c:v>90</c:v>
                </c:pt>
                <c:pt idx="8">
                  <c:v>127.2</c:v>
                </c:pt>
                <c:pt idx="9">
                  <c:v>94.800000000000011</c:v>
                </c:pt>
                <c:pt idx="10">
                  <c:v>39.6</c:v>
                </c:pt>
                <c:pt idx="11">
                  <c:v>26.400000000000002</c:v>
                </c:pt>
                <c:pt idx="12">
                  <c:v>8.4</c:v>
                </c:pt>
                <c:pt idx="13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Q1+2</c:v>
          </c:tx>
          <c:spPr>
            <a:ln w="22225"/>
          </c:spPr>
          <c:marker>
            <c:symbol val="triangle"/>
            <c:size val="3"/>
          </c:marker>
          <c:xVal>
            <c:numRef>
              <c:f>Sheet1!$H$7:$H$20</c:f>
              <c:numCache>
                <c:formatCode>General</c:formatCode>
                <c:ptCount val="14"/>
                <c:pt idx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36</c:v>
                </c:pt>
                <c:pt idx="4">
                  <c:v>48</c:v>
                </c:pt>
                <c:pt idx="5">
                  <c:v>60</c:v>
                </c:pt>
                <c:pt idx="6">
                  <c:v>72</c:v>
                </c:pt>
                <c:pt idx="7">
                  <c:v>84</c:v>
                </c:pt>
                <c:pt idx="8">
                  <c:v>96</c:v>
                </c:pt>
                <c:pt idx="9">
                  <c:v>108</c:v>
                </c:pt>
                <c:pt idx="10">
                  <c:v>120</c:v>
                </c:pt>
                <c:pt idx="11">
                  <c:v>132</c:v>
                </c:pt>
                <c:pt idx="12">
                  <c:v>144</c:v>
                </c:pt>
                <c:pt idx="13">
                  <c:v>156</c:v>
                </c:pt>
              </c:numCache>
            </c:numRef>
          </c:xVal>
          <c:yVal>
            <c:numRef>
              <c:f>Sheet1!$L$7:$L$20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3.2571428571428571</c:v>
                </c:pt>
                <c:pt idx="3">
                  <c:v>14.657142857142858</c:v>
                </c:pt>
                <c:pt idx="4">
                  <c:v>48</c:v>
                </c:pt>
                <c:pt idx="5">
                  <c:v>132.94285714285715</c:v>
                </c:pt>
                <c:pt idx="6">
                  <c:v>206.22857142857143</c:v>
                </c:pt>
                <c:pt idx="7">
                  <c:v>218.65714285714287</c:v>
                </c:pt>
                <c:pt idx="8">
                  <c:v>180.94285714285715</c:v>
                </c:pt>
                <c:pt idx="9">
                  <c:v>130.62857142857143</c:v>
                </c:pt>
                <c:pt idx="10">
                  <c:v>51</c:v>
                </c:pt>
                <c:pt idx="11">
                  <c:v>26.400000000000002</c:v>
                </c:pt>
                <c:pt idx="12">
                  <c:v>8.4</c:v>
                </c:pt>
                <c:pt idx="13">
                  <c:v>0</c:v>
                </c:pt>
              </c:numCache>
            </c:numRef>
          </c:yVal>
          <c:smooth val="1"/>
        </c:ser>
        <c:axId val="84771968"/>
        <c:axId val="84773888"/>
      </c:scatterChart>
      <c:scatterChart>
        <c:scatterStyle val="smoothMarker"/>
        <c:ser>
          <c:idx val="3"/>
          <c:order val="3"/>
          <c:tx>
            <c:v>u</c:v>
          </c:tx>
          <c:spPr>
            <a:ln w="22225"/>
          </c:spPr>
          <c:marker>
            <c:symbol val="x"/>
            <c:size val="3"/>
          </c:marker>
          <c:xVal>
            <c:numRef>
              <c:f>Sheet1!$H$9:$H$20</c:f>
              <c:numCache>
                <c:formatCode>General</c:formatCode>
                <c:ptCount val="12"/>
                <c:pt idx="0">
                  <c:v>24</c:v>
                </c:pt>
                <c:pt idx="1">
                  <c:v>36</c:v>
                </c:pt>
                <c:pt idx="2">
                  <c:v>48</c:v>
                </c:pt>
                <c:pt idx="3">
                  <c:v>60</c:v>
                </c:pt>
                <c:pt idx="4">
                  <c:v>72</c:v>
                </c:pt>
                <c:pt idx="5">
                  <c:v>84</c:v>
                </c:pt>
                <c:pt idx="6">
                  <c:v>96</c:v>
                </c:pt>
                <c:pt idx="7">
                  <c:v>108</c:v>
                </c:pt>
                <c:pt idx="8">
                  <c:v>120</c:v>
                </c:pt>
                <c:pt idx="9">
                  <c:v>132</c:v>
                </c:pt>
                <c:pt idx="10">
                  <c:v>144</c:v>
                </c:pt>
                <c:pt idx="11">
                  <c:v>156</c:v>
                </c:pt>
              </c:numCache>
            </c:numRef>
          </c:xVal>
          <c:yVal>
            <c:numRef>
              <c:f>Sheet1!$I$7:$I$18</c:f>
              <c:numCache>
                <c:formatCode>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0.12987012987012986</c:v>
                </c:pt>
                <c:pt idx="3">
                  <c:v>0.58441558441558439</c:v>
                </c:pt>
                <c:pt idx="4">
                  <c:v>1.8181818181818181</c:v>
                </c:pt>
                <c:pt idx="5">
                  <c:v>4.8701298701298699</c:v>
                </c:pt>
                <c:pt idx="6">
                  <c:v>6.883116883116883</c:v>
                </c:pt>
                <c:pt idx="7">
                  <c:v>5.1298701298701301</c:v>
                </c:pt>
                <c:pt idx="8">
                  <c:v>2.1428571428571428</c:v>
                </c:pt>
                <c:pt idx="9">
                  <c:v>1.4285714285714286</c:v>
                </c:pt>
                <c:pt idx="10">
                  <c:v>0.45454545454545453</c:v>
                </c:pt>
                <c:pt idx="11">
                  <c:v>0</c:v>
                </c:pt>
              </c:numCache>
            </c:numRef>
          </c:yVal>
          <c:smooth val="1"/>
        </c:ser>
        <c:axId val="84782080"/>
        <c:axId val="84780160"/>
      </c:scatterChart>
      <c:valAx>
        <c:axId val="84771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[h]</a:t>
                </a:r>
              </a:p>
            </c:rich>
          </c:tx>
          <c:layout>
            <c:manualLayout>
              <c:xMode val="edge"/>
              <c:yMode val="edge"/>
              <c:x val="0.49356221552923396"/>
              <c:y val="0.90133399587187502"/>
            </c:manualLayout>
          </c:layout>
        </c:title>
        <c:numFmt formatCode="General" sourceLinked="1"/>
        <c:majorTickMark val="none"/>
        <c:tickLblPos val="nextTo"/>
        <c:crossAx val="84773888"/>
        <c:crossesAt val="0"/>
        <c:crossBetween val="midCat"/>
      </c:valAx>
      <c:valAx>
        <c:axId val="84773888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4771968"/>
        <c:crosses val="autoZero"/>
        <c:crossBetween val="midCat"/>
      </c:valAx>
      <c:valAx>
        <c:axId val="84780160"/>
        <c:scaling>
          <c:orientation val="minMax"/>
          <c:min val="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 [m</a:t>
                </a:r>
                <a:r>
                  <a:rPr lang="en-US" baseline="30000"/>
                  <a:t>3</a:t>
                </a:r>
                <a:r>
                  <a:rPr lang="en-US"/>
                  <a:t>/s/mm]</a:t>
                </a:r>
              </a:p>
            </c:rich>
          </c:tx>
          <c:layout/>
        </c:title>
        <c:numFmt formatCode="0.0" sourceLinked="1"/>
        <c:tickLblPos val="nextTo"/>
        <c:crossAx val="84782080"/>
        <c:crosses val="max"/>
        <c:crossBetween val="midCat"/>
      </c:valAx>
      <c:valAx>
        <c:axId val="84782080"/>
        <c:scaling>
          <c:orientation val="minMax"/>
        </c:scaling>
        <c:delete val="1"/>
        <c:axPos val="b"/>
        <c:numFmt formatCode="General" sourceLinked="1"/>
        <c:tickLblPos val="nextTo"/>
        <c:crossAx val="84780160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65824016423333043"/>
          <c:y val="0.25040083581785305"/>
          <c:w val="0.1185820468839337"/>
          <c:h val="0.23408302117575108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25</xdr:row>
      <xdr:rowOff>9525</xdr:rowOff>
    </xdr:from>
    <xdr:to>
      <xdr:col>5</xdr:col>
      <xdr:colOff>571500</xdr:colOff>
      <xdr:row>45</xdr:row>
      <xdr:rowOff>38101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152399</xdr:colOff>
      <xdr:row>20</xdr:row>
      <xdr:rowOff>152400</xdr:rowOff>
    </xdr:from>
    <xdr:to>
      <xdr:col>13</xdr:col>
      <xdr:colOff>485774</xdr:colOff>
      <xdr:row>41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2"/>
  <sheetViews>
    <sheetView tabSelected="1" topLeftCell="A70" workbookViewId="0">
      <selection activeCell="E79" sqref="E79"/>
    </sheetView>
  </sheetViews>
  <sheetFormatPr defaultRowHeight="15"/>
  <cols>
    <col min="1" max="1" width="18.85546875" customWidth="1"/>
    <col min="2" max="2" width="12" customWidth="1"/>
    <col min="3" max="3" width="16.5703125" customWidth="1"/>
    <col min="4" max="4" width="13.7109375" customWidth="1"/>
    <col min="5" max="5" width="12" customWidth="1"/>
    <col min="6" max="6" width="13.7109375" customWidth="1"/>
    <col min="8" max="12" width="12" customWidth="1"/>
  </cols>
  <sheetData>
    <row r="1" spans="1:12" ht="17.25">
      <c r="A1" s="13" t="s">
        <v>0</v>
      </c>
    </row>
    <row r="2" spans="1:12" ht="18">
      <c r="H2" s="18" t="s">
        <v>35</v>
      </c>
      <c r="I2" s="16" t="s">
        <v>45</v>
      </c>
      <c r="J2" s="16" t="s">
        <v>46</v>
      </c>
      <c r="K2" s="16" t="s">
        <v>47</v>
      </c>
      <c r="L2" s="16" t="s">
        <v>48</v>
      </c>
    </row>
    <row r="3" spans="1:12" ht="18">
      <c r="B3" s="2" t="s">
        <v>38</v>
      </c>
      <c r="C3" s="2">
        <v>7.7</v>
      </c>
      <c r="H3" s="2">
        <v>0.33</v>
      </c>
      <c r="I3" s="2">
        <f>70+C52</f>
        <v>76</v>
      </c>
      <c r="J3" s="2">
        <f>50+C52</f>
        <v>56</v>
      </c>
      <c r="K3" s="2">
        <f>I3*$H$3</f>
        <v>25.080000000000002</v>
      </c>
      <c r="L3" s="2">
        <f>J3*$H$3</f>
        <v>18.48</v>
      </c>
    </row>
    <row r="5" spans="1:12" ht="30" customHeight="1">
      <c r="A5" s="28" t="s">
        <v>33</v>
      </c>
      <c r="B5" s="28"/>
      <c r="C5" s="28"/>
      <c r="D5" s="28"/>
      <c r="E5" s="28"/>
      <c r="F5" s="28"/>
      <c r="H5" s="27" t="s">
        <v>36</v>
      </c>
      <c r="I5" s="27"/>
      <c r="J5" s="27"/>
      <c r="K5" s="27"/>
      <c r="L5" s="27"/>
    </row>
    <row r="6" spans="1:12" ht="18.75">
      <c r="A6" s="14" t="s">
        <v>1</v>
      </c>
      <c r="B6" s="14" t="s">
        <v>39</v>
      </c>
      <c r="C6" s="14" t="s">
        <v>40</v>
      </c>
      <c r="D6" s="14" t="s">
        <v>41</v>
      </c>
      <c r="E6" s="15" t="s">
        <v>42</v>
      </c>
      <c r="F6" s="15" t="s">
        <v>43</v>
      </c>
      <c r="H6" s="14" t="s">
        <v>1</v>
      </c>
      <c r="I6" s="14" t="s">
        <v>41</v>
      </c>
      <c r="J6" s="14" t="s">
        <v>49</v>
      </c>
      <c r="K6" s="14" t="s">
        <v>50</v>
      </c>
      <c r="L6" s="14" t="s">
        <v>51</v>
      </c>
    </row>
    <row r="7" spans="1:12">
      <c r="A7" s="2">
        <v>0</v>
      </c>
      <c r="B7" s="5">
        <v>5</v>
      </c>
      <c r="C7" s="5">
        <v>0</v>
      </c>
      <c r="D7" s="5">
        <f t="shared" ref="D7:D22" si="0">C7/$C$3</f>
        <v>0</v>
      </c>
      <c r="E7" s="5">
        <f t="shared" ref="E7:E22" si="1">D7*$C$80</f>
        <v>0</v>
      </c>
      <c r="F7" s="5">
        <f t="shared" ref="F7:F22" si="2">D7*$C$81</f>
        <v>0</v>
      </c>
      <c r="H7" s="2">
        <v>0</v>
      </c>
      <c r="I7" s="3">
        <f t="shared" ref="I7:I18" si="3">D7</f>
        <v>0</v>
      </c>
      <c r="J7" s="5">
        <f>$K$3*I7</f>
        <v>0</v>
      </c>
      <c r="K7" s="5">
        <v>0</v>
      </c>
      <c r="L7" s="5">
        <f>J7+K7</f>
        <v>0</v>
      </c>
    </row>
    <row r="8" spans="1:12">
      <c r="A8" s="2">
        <v>12</v>
      </c>
      <c r="B8" s="5">
        <v>4.5</v>
      </c>
      <c r="C8" s="5">
        <v>0</v>
      </c>
      <c r="D8" s="5">
        <f t="shared" si="0"/>
        <v>0</v>
      </c>
      <c r="E8" s="5">
        <f t="shared" si="1"/>
        <v>0</v>
      </c>
      <c r="F8" s="5">
        <f t="shared" si="2"/>
        <v>0</v>
      </c>
      <c r="H8" s="2">
        <v>12</v>
      </c>
      <c r="I8" s="3">
        <f t="shared" si="3"/>
        <v>0</v>
      </c>
      <c r="J8" s="5">
        <f t="shared" ref="J8:J20" si="4">$K$3*I8</f>
        <v>0</v>
      </c>
      <c r="K8" s="5">
        <v>0</v>
      </c>
      <c r="L8" s="5">
        <f t="shared" ref="L8:L20" si="5">J8+K8</f>
        <v>0</v>
      </c>
    </row>
    <row r="9" spans="1:12">
      <c r="A9" s="2">
        <v>24</v>
      </c>
      <c r="B9" s="5">
        <v>6</v>
      </c>
      <c r="C9" s="5">
        <v>1</v>
      </c>
      <c r="D9" s="5">
        <f t="shared" si="0"/>
        <v>0.12987012987012986</v>
      </c>
      <c r="E9" s="5">
        <f t="shared" si="1"/>
        <v>1.5314227808902696</v>
      </c>
      <c r="F9" s="5">
        <f t="shared" si="2"/>
        <v>2.2195002383863747</v>
      </c>
      <c r="H9" s="2">
        <v>24</v>
      </c>
      <c r="I9" s="3">
        <f t="shared" si="3"/>
        <v>0.12987012987012986</v>
      </c>
      <c r="J9" s="5">
        <f t="shared" si="4"/>
        <v>3.2571428571428571</v>
      </c>
      <c r="K9" s="5">
        <v>0</v>
      </c>
      <c r="L9" s="5">
        <f t="shared" si="5"/>
        <v>3.2571428571428571</v>
      </c>
    </row>
    <row r="10" spans="1:12">
      <c r="A10" s="2">
        <v>36</v>
      </c>
      <c r="B10" s="5">
        <v>8</v>
      </c>
      <c r="C10" s="5">
        <v>4.5</v>
      </c>
      <c r="D10" s="5">
        <f t="shared" si="0"/>
        <v>0.58441558441558439</v>
      </c>
      <c r="E10" s="5">
        <f t="shared" si="1"/>
        <v>6.8914025140062138</v>
      </c>
      <c r="F10" s="5">
        <f t="shared" si="2"/>
        <v>9.9877510727386856</v>
      </c>
      <c r="H10" s="2">
        <v>36</v>
      </c>
      <c r="I10" s="3">
        <f t="shared" si="3"/>
        <v>0.58441558441558439</v>
      </c>
      <c r="J10" s="5">
        <f t="shared" si="4"/>
        <v>14.657142857142858</v>
      </c>
      <c r="K10" s="5">
        <v>0</v>
      </c>
      <c r="L10" s="5">
        <f t="shared" si="5"/>
        <v>14.657142857142858</v>
      </c>
    </row>
    <row r="11" spans="1:12">
      <c r="A11" s="2">
        <v>48</v>
      </c>
      <c r="B11" s="5">
        <v>17</v>
      </c>
      <c r="C11" s="5">
        <v>14</v>
      </c>
      <c r="D11" s="5">
        <f t="shared" si="0"/>
        <v>1.8181818181818181</v>
      </c>
      <c r="E11" s="5">
        <f t="shared" si="1"/>
        <v>21.439918932463776</v>
      </c>
      <c r="F11" s="5">
        <f t="shared" si="2"/>
        <v>31.073003337409244</v>
      </c>
      <c r="H11" s="2">
        <v>48</v>
      </c>
      <c r="I11" s="3">
        <f t="shared" si="3"/>
        <v>1.8181818181818181</v>
      </c>
      <c r="J11" s="5">
        <f t="shared" si="4"/>
        <v>45.6</v>
      </c>
      <c r="K11" s="5">
        <f>I9*$L$3</f>
        <v>2.4</v>
      </c>
      <c r="L11" s="5">
        <f t="shared" si="5"/>
        <v>48</v>
      </c>
    </row>
    <row r="12" spans="1:12">
      <c r="A12" s="2">
        <v>60</v>
      </c>
      <c r="B12" s="5">
        <v>40</v>
      </c>
      <c r="C12" s="5">
        <v>37.5</v>
      </c>
      <c r="D12" s="5">
        <f t="shared" si="0"/>
        <v>4.8701298701298699</v>
      </c>
      <c r="E12" s="5">
        <f t="shared" si="1"/>
        <v>57.428354283385119</v>
      </c>
      <c r="F12" s="5">
        <f t="shared" si="2"/>
        <v>83.231258939489052</v>
      </c>
      <c r="H12" s="2">
        <v>60</v>
      </c>
      <c r="I12" s="3">
        <f t="shared" si="3"/>
        <v>4.8701298701298699</v>
      </c>
      <c r="J12" s="5">
        <f t="shared" si="4"/>
        <v>122.14285714285714</v>
      </c>
      <c r="K12" s="5">
        <f t="shared" ref="K12:K20" si="6">I10*$L$3</f>
        <v>10.799999999999999</v>
      </c>
      <c r="L12" s="5">
        <f t="shared" si="5"/>
        <v>132.94285714285715</v>
      </c>
    </row>
    <row r="13" spans="1:12">
      <c r="A13" s="2">
        <v>72</v>
      </c>
      <c r="B13" s="5">
        <v>55</v>
      </c>
      <c r="C13" s="5">
        <v>53</v>
      </c>
      <c r="D13" s="5">
        <f t="shared" si="0"/>
        <v>6.883116883116883</v>
      </c>
      <c r="E13" s="5">
        <f t="shared" si="1"/>
        <v>81.165407387184302</v>
      </c>
      <c r="F13" s="5">
        <f t="shared" si="2"/>
        <v>117.63351263447785</v>
      </c>
      <c r="H13" s="2">
        <v>72</v>
      </c>
      <c r="I13" s="3">
        <f t="shared" si="3"/>
        <v>6.883116883116883</v>
      </c>
      <c r="J13" s="5">
        <f t="shared" si="4"/>
        <v>172.62857142857143</v>
      </c>
      <c r="K13" s="5">
        <f t="shared" si="6"/>
        <v>33.6</v>
      </c>
      <c r="L13" s="5">
        <f t="shared" si="5"/>
        <v>206.22857142857143</v>
      </c>
    </row>
    <row r="14" spans="1:12">
      <c r="A14" s="2">
        <v>84</v>
      </c>
      <c r="B14" s="5">
        <v>43</v>
      </c>
      <c r="C14" s="5">
        <v>39.5</v>
      </c>
      <c r="D14" s="5">
        <f t="shared" si="0"/>
        <v>5.1298701298701301</v>
      </c>
      <c r="E14" s="5">
        <f t="shared" si="1"/>
        <v>60.49119984516566</v>
      </c>
      <c r="F14" s="5">
        <f t="shared" si="2"/>
        <v>87.6702594162618</v>
      </c>
      <c r="H14" s="2">
        <v>84</v>
      </c>
      <c r="I14" s="3">
        <f t="shared" si="3"/>
        <v>5.1298701298701301</v>
      </c>
      <c r="J14" s="5">
        <f t="shared" si="4"/>
        <v>128.65714285714287</v>
      </c>
      <c r="K14" s="5">
        <f t="shared" si="6"/>
        <v>90</v>
      </c>
      <c r="L14" s="5">
        <f t="shared" si="5"/>
        <v>218.65714285714287</v>
      </c>
    </row>
    <row r="15" spans="1:12">
      <c r="A15" s="2">
        <v>96</v>
      </c>
      <c r="B15" s="5">
        <v>21</v>
      </c>
      <c r="C15" s="5">
        <v>16.5</v>
      </c>
      <c r="D15" s="5">
        <f t="shared" si="0"/>
        <v>2.1428571428571428</v>
      </c>
      <c r="E15" s="5">
        <f t="shared" si="1"/>
        <v>25.268475884689451</v>
      </c>
      <c r="F15" s="5">
        <f t="shared" si="2"/>
        <v>36.621753933375182</v>
      </c>
      <c r="H15" s="2">
        <v>96</v>
      </c>
      <c r="I15" s="3">
        <f t="shared" si="3"/>
        <v>2.1428571428571428</v>
      </c>
      <c r="J15" s="5">
        <f t="shared" si="4"/>
        <v>53.742857142857147</v>
      </c>
      <c r="K15" s="5">
        <f t="shared" si="6"/>
        <v>127.2</v>
      </c>
      <c r="L15" s="5">
        <f t="shared" si="5"/>
        <v>180.94285714285715</v>
      </c>
    </row>
    <row r="16" spans="1:12">
      <c r="A16" s="2">
        <v>108</v>
      </c>
      <c r="B16" s="5">
        <v>16.5</v>
      </c>
      <c r="C16" s="5">
        <v>11</v>
      </c>
      <c r="D16" s="5">
        <f t="shared" si="0"/>
        <v>1.4285714285714286</v>
      </c>
      <c r="E16" s="5">
        <f t="shared" si="1"/>
        <v>16.845650589792967</v>
      </c>
      <c r="F16" s="5">
        <f t="shared" si="2"/>
        <v>24.414502622250122</v>
      </c>
      <c r="H16" s="2">
        <v>108</v>
      </c>
      <c r="I16" s="3">
        <f t="shared" si="3"/>
        <v>1.4285714285714286</v>
      </c>
      <c r="J16" s="5">
        <f t="shared" si="4"/>
        <v>35.828571428571429</v>
      </c>
      <c r="K16" s="5">
        <f t="shared" si="6"/>
        <v>94.800000000000011</v>
      </c>
      <c r="L16" s="5">
        <f t="shared" si="5"/>
        <v>130.62857142857143</v>
      </c>
    </row>
    <row r="17" spans="1:12">
      <c r="A17" s="2">
        <v>120</v>
      </c>
      <c r="B17" s="5">
        <v>12</v>
      </c>
      <c r="C17" s="5">
        <v>3.5</v>
      </c>
      <c r="D17" s="5">
        <f t="shared" si="0"/>
        <v>0.45454545454545453</v>
      </c>
      <c r="E17" s="5">
        <f t="shared" si="1"/>
        <v>5.359979733115944</v>
      </c>
      <c r="F17" s="5">
        <f t="shared" si="2"/>
        <v>7.7682508343523109</v>
      </c>
      <c r="H17" s="2">
        <v>120</v>
      </c>
      <c r="I17" s="3">
        <f t="shared" si="3"/>
        <v>0.45454545454545453</v>
      </c>
      <c r="J17" s="5">
        <f t="shared" si="4"/>
        <v>11.4</v>
      </c>
      <c r="K17" s="5">
        <f t="shared" si="6"/>
        <v>39.6</v>
      </c>
      <c r="L17" s="5">
        <f t="shared" si="5"/>
        <v>51</v>
      </c>
    </row>
    <row r="18" spans="1:12">
      <c r="A18" s="2">
        <v>132</v>
      </c>
      <c r="B18" s="5">
        <v>9.5</v>
      </c>
      <c r="C18" s="5">
        <v>0</v>
      </c>
      <c r="D18" s="5">
        <f t="shared" si="0"/>
        <v>0</v>
      </c>
      <c r="E18" s="5">
        <f t="shared" si="1"/>
        <v>0</v>
      </c>
      <c r="F18" s="5">
        <f t="shared" si="2"/>
        <v>0</v>
      </c>
      <c r="H18" s="2">
        <v>132</v>
      </c>
      <c r="I18" s="3">
        <f t="shared" si="3"/>
        <v>0</v>
      </c>
      <c r="J18" s="5">
        <f t="shared" si="4"/>
        <v>0</v>
      </c>
      <c r="K18" s="5">
        <f t="shared" si="6"/>
        <v>26.400000000000002</v>
      </c>
      <c r="L18" s="5">
        <f t="shared" si="5"/>
        <v>26.400000000000002</v>
      </c>
    </row>
    <row r="19" spans="1:12">
      <c r="A19" s="2">
        <v>144</v>
      </c>
      <c r="B19" s="5">
        <v>9</v>
      </c>
      <c r="C19" s="5">
        <v>0</v>
      </c>
      <c r="D19" s="5">
        <f t="shared" si="0"/>
        <v>0</v>
      </c>
      <c r="E19" s="5">
        <f t="shared" si="1"/>
        <v>0</v>
      </c>
      <c r="F19" s="5">
        <f t="shared" si="2"/>
        <v>0</v>
      </c>
      <c r="H19" s="2">
        <v>144</v>
      </c>
      <c r="I19" s="3">
        <f t="shared" ref="I19:I20" si="7">D19</f>
        <v>0</v>
      </c>
      <c r="J19" s="5">
        <f t="shared" si="4"/>
        <v>0</v>
      </c>
      <c r="K19" s="5">
        <f t="shared" si="6"/>
        <v>8.4</v>
      </c>
      <c r="L19" s="5">
        <f t="shared" si="5"/>
        <v>8.4</v>
      </c>
    </row>
    <row r="20" spans="1:12">
      <c r="A20" s="2">
        <v>156</v>
      </c>
      <c r="B20" s="5">
        <v>8</v>
      </c>
      <c r="C20" s="5">
        <v>0</v>
      </c>
      <c r="D20" s="5">
        <f t="shared" si="0"/>
        <v>0</v>
      </c>
      <c r="E20" s="5">
        <f t="shared" si="1"/>
        <v>0</v>
      </c>
      <c r="F20" s="5">
        <f t="shared" si="2"/>
        <v>0</v>
      </c>
      <c r="H20" s="2">
        <v>156</v>
      </c>
      <c r="I20" s="3">
        <f t="shared" si="7"/>
        <v>0</v>
      </c>
      <c r="J20" s="5">
        <f t="shared" si="4"/>
        <v>0</v>
      </c>
      <c r="K20" s="10">
        <f t="shared" si="6"/>
        <v>0</v>
      </c>
      <c r="L20" s="5">
        <f t="shared" si="5"/>
        <v>0</v>
      </c>
    </row>
    <row r="21" spans="1:12">
      <c r="A21" s="2">
        <v>168</v>
      </c>
      <c r="B21" s="5">
        <v>7</v>
      </c>
      <c r="C21" s="5">
        <v>0</v>
      </c>
      <c r="D21" s="5">
        <f t="shared" si="0"/>
        <v>0</v>
      </c>
      <c r="E21" s="5">
        <f t="shared" si="1"/>
        <v>0</v>
      </c>
      <c r="F21" s="5">
        <f t="shared" si="2"/>
        <v>0</v>
      </c>
      <c r="K21" s="11"/>
    </row>
    <row r="22" spans="1:12">
      <c r="A22" s="2">
        <v>180</v>
      </c>
      <c r="B22" s="5">
        <v>6</v>
      </c>
      <c r="C22" s="5">
        <v>0</v>
      </c>
      <c r="D22" s="5">
        <f t="shared" si="0"/>
        <v>0</v>
      </c>
      <c r="E22" s="5">
        <f t="shared" si="1"/>
        <v>0</v>
      </c>
      <c r="F22" s="5">
        <f t="shared" si="2"/>
        <v>0</v>
      </c>
    </row>
    <row r="52" spans="1:6">
      <c r="B52" s="17" t="s">
        <v>3</v>
      </c>
      <c r="C52" s="4">
        <v>6</v>
      </c>
    </row>
    <row r="54" spans="1:6" ht="18">
      <c r="A54" s="16" t="s">
        <v>44</v>
      </c>
      <c r="B54" s="2">
        <f>40+C52</f>
        <v>46</v>
      </c>
      <c r="D54" s="16" t="s">
        <v>4</v>
      </c>
      <c r="E54" s="2">
        <f>20+C52</f>
        <v>26</v>
      </c>
    </row>
    <row r="56" spans="1:6" ht="15.75">
      <c r="A56" s="25" t="s">
        <v>31</v>
      </c>
      <c r="B56" s="25"/>
      <c r="C56" s="25"/>
      <c r="D56" s="25"/>
      <c r="E56" s="25"/>
    </row>
    <row r="57" spans="1:6">
      <c r="A57" s="16" t="s">
        <v>5</v>
      </c>
      <c r="B57" s="5">
        <f>B54-0.45*E54</f>
        <v>34.299999999999997</v>
      </c>
      <c r="C57" s="7"/>
      <c r="D57" s="18" t="s">
        <v>3</v>
      </c>
      <c r="E57" s="2">
        <f>0.78*E54</f>
        <v>20.28</v>
      </c>
    </row>
    <row r="58" spans="1:6">
      <c r="A58" s="7"/>
      <c r="B58" s="7"/>
      <c r="C58" s="7"/>
      <c r="D58" s="7"/>
      <c r="E58" s="7"/>
    </row>
    <row r="59" spans="1:6">
      <c r="A59" s="16" t="s">
        <v>6</v>
      </c>
      <c r="B59" s="16" t="s">
        <v>7</v>
      </c>
      <c r="C59" s="16" t="s">
        <v>8</v>
      </c>
      <c r="D59" s="16" t="s">
        <v>37</v>
      </c>
      <c r="E59" s="16" t="s">
        <v>9</v>
      </c>
    </row>
    <row r="60" spans="1:6" ht="13.5" customHeight="1">
      <c r="A60" s="2">
        <v>50</v>
      </c>
      <c r="B60" s="2">
        <f>1/A60</f>
        <v>0.02</v>
      </c>
      <c r="C60" s="2">
        <f>1-B60</f>
        <v>0.98</v>
      </c>
      <c r="D60" s="6">
        <f>-LN(-LN(C60))</f>
        <v>3.9019386579358333</v>
      </c>
      <c r="E60" s="19">
        <f>$E$57*D60+$B$57</f>
        <v>113.4313159829387</v>
      </c>
    </row>
    <row r="61" spans="1:6">
      <c r="A61" s="2">
        <v>100</v>
      </c>
      <c r="B61" s="2">
        <f>1/A61</f>
        <v>0.01</v>
      </c>
      <c r="C61" s="2">
        <f>1-B61</f>
        <v>0.99</v>
      </c>
      <c r="D61" s="6">
        <f>-LN(-LN(C61))</f>
        <v>4.6001492267765789</v>
      </c>
      <c r="E61" s="19">
        <f>$E$57*D61+$B$57</f>
        <v>127.59102631902903</v>
      </c>
    </row>
    <row r="62" spans="1:6" ht="30" customHeight="1"/>
    <row r="63" spans="1:6" ht="22.5" customHeight="1">
      <c r="A63" s="26" t="s">
        <v>32</v>
      </c>
      <c r="B63" s="26"/>
      <c r="C63" s="26"/>
      <c r="D63" s="26"/>
      <c r="E63" s="26"/>
      <c r="F63" s="26"/>
    </row>
    <row r="64" spans="1:6" ht="45">
      <c r="A64" s="9" t="s">
        <v>17</v>
      </c>
      <c r="B64" s="9" t="s">
        <v>18</v>
      </c>
      <c r="C64" s="9" t="s">
        <v>19</v>
      </c>
      <c r="D64" s="9" t="s">
        <v>10</v>
      </c>
      <c r="E64" s="9" t="s">
        <v>11</v>
      </c>
      <c r="F64" s="20"/>
    </row>
    <row r="65" spans="1:6">
      <c r="A65" s="9" t="s">
        <v>25</v>
      </c>
      <c r="B65" s="20"/>
      <c r="C65" s="20"/>
      <c r="D65" s="9" t="s">
        <v>26</v>
      </c>
      <c r="E65" s="9" t="s">
        <v>27</v>
      </c>
      <c r="F65" s="9" t="s">
        <v>28</v>
      </c>
    </row>
    <row r="66" spans="1:6" ht="30">
      <c r="A66" s="9" t="s">
        <v>12</v>
      </c>
      <c r="B66" s="9"/>
      <c r="C66" s="9" t="s">
        <v>20</v>
      </c>
      <c r="D66" s="9">
        <v>39</v>
      </c>
      <c r="E66" s="9">
        <v>34.5</v>
      </c>
      <c r="F66" s="20">
        <f>D66*E66</f>
        <v>1345.5</v>
      </c>
    </row>
    <row r="67" spans="1:6">
      <c r="A67" s="9" t="s">
        <v>13</v>
      </c>
      <c r="B67" s="9"/>
      <c r="C67" s="9" t="s">
        <v>21</v>
      </c>
      <c r="D67" s="9">
        <v>36</v>
      </c>
      <c r="E67" s="9">
        <v>26</v>
      </c>
      <c r="F67" s="20">
        <f t="shared" ref="F67:F68" si="8">D67*E67</f>
        <v>936</v>
      </c>
    </row>
    <row r="68" spans="1:6" ht="60">
      <c r="A68" s="9" t="s">
        <v>16</v>
      </c>
      <c r="B68" s="9" t="s">
        <v>23</v>
      </c>
      <c r="C68" s="9" t="s">
        <v>20</v>
      </c>
      <c r="D68" s="9">
        <v>63</v>
      </c>
      <c r="E68" s="9">
        <v>30.6</v>
      </c>
      <c r="F68" s="20">
        <f t="shared" si="8"/>
        <v>1927.8000000000002</v>
      </c>
    </row>
    <row r="69" spans="1:6">
      <c r="A69" s="12" t="s">
        <v>14</v>
      </c>
      <c r="B69" s="12"/>
      <c r="C69" s="12"/>
      <c r="D69" s="12"/>
      <c r="E69" s="12"/>
      <c r="F69" s="21"/>
    </row>
    <row r="70" spans="1:6" ht="13.5" customHeight="1">
      <c r="A70" s="9" t="s">
        <v>22</v>
      </c>
      <c r="B70" s="9"/>
      <c r="C70" s="9"/>
      <c r="D70" s="9">
        <v>98</v>
      </c>
      <c r="E70" s="9">
        <v>3.7</v>
      </c>
      <c r="F70" s="20">
        <f>D70*E70</f>
        <v>362.6</v>
      </c>
    </row>
    <row r="71" spans="1:6">
      <c r="A71" s="9" t="s">
        <v>15</v>
      </c>
      <c r="B71" s="9"/>
      <c r="C71" s="9"/>
      <c r="D71" s="9">
        <v>72</v>
      </c>
      <c r="E71" s="9">
        <v>5.2</v>
      </c>
      <c r="F71" s="20">
        <f>D71*E71</f>
        <v>374.40000000000003</v>
      </c>
    </row>
    <row r="72" spans="1:6">
      <c r="A72" s="12" t="s">
        <v>24</v>
      </c>
      <c r="B72" s="21"/>
      <c r="C72" s="21"/>
      <c r="D72" s="21"/>
      <c r="E72" s="21">
        <f>SUM(E66:E71)</f>
        <v>100</v>
      </c>
      <c r="F72" s="21">
        <f>SUM(F66:F71)</f>
        <v>4946.3</v>
      </c>
    </row>
    <row r="73" spans="1:6" ht="30">
      <c r="A73" s="12" t="s">
        <v>29</v>
      </c>
      <c r="B73" s="12"/>
      <c r="C73" s="12"/>
      <c r="D73" s="21">
        <f>F72/100</f>
        <v>49.463000000000001</v>
      </c>
      <c r="E73" s="21"/>
      <c r="F73" s="21"/>
    </row>
    <row r="76" spans="1:6">
      <c r="A76" s="16" t="s">
        <v>30</v>
      </c>
      <c r="B76" s="3">
        <f>25.4*(1000/D73-10)</f>
        <v>259.51515274043226</v>
      </c>
      <c r="D76" s="8"/>
    </row>
    <row r="77" spans="1:6">
      <c r="B77" s="1"/>
      <c r="D77" s="8"/>
    </row>
    <row r="78" spans="1:6" ht="15.75" thickBot="1"/>
    <row r="79" spans="1:6" ht="16.5" thickTop="1" thickBot="1">
      <c r="A79" s="23" t="s">
        <v>6</v>
      </c>
      <c r="B79" s="23" t="s">
        <v>34</v>
      </c>
      <c r="C79" s="23" t="s">
        <v>2</v>
      </c>
    </row>
    <row r="80" spans="1:6" ht="16.5" thickTop="1" thickBot="1">
      <c r="A80" s="24">
        <v>50</v>
      </c>
      <c r="B80" s="22">
        <f>E60</f>
        <v>113.4313159829387</v>
      </c>
      <c r="C80" s="22">
        <f>((E60-0.2*$B$76)^2)/(E60+0.8*$B$76)</f>
        <v>11.791955412855078</v>
      </c>
    </row>
    <row r="81" spans="1:3" ht="16.5" thickTop="1" thickBot="1">
      <c r="A81" s="24">
        <v>100</v>
      </c>
      <c r="B81" s="22">
        <f>E61</f>
        <v>127.59102631902903</v>
      </c>
      <c r="C81" s="22">
        <f>((E61-0.2*$B$76)^2)/(E61+0.8*$B$76)</f>
        <v>17.090151835575085</v>
      </c>
    </row>
    <row r="82" spans="1:3" ht="15.75" thickTop="1"/>
  </sheetData>
  <mergeCells count="4">
    <mergeCell ref="A56:E56"/>
    <mergeCell ref="A63:F63"/>
    <mergeCell ref="H5:L5"/>
    <mergeCell ref="A5:F5"/>
  </mergeCells>
  <pageMargins left="0.98425196850393704" right="0.23622047244094491" top="0.23622047244094491" bottom="0.23622047244094491" header="0.23622047244094491" footer="0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cp:lastPrinted>2009-09-23T19:45:23Z</cp:lastPrinted>
  <dcterms:created xsi:type="dcterms:W3CDTF">2009-04-04T17:20:28Z</dcterms:created>
  <dcterms:modified xsi:type="dcterms:W3CDTF">2009-09-23T19:45:25Z</dcterms:modified>
</cp:coreProperties>
</file>